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28560" windowHeight="15640" activeTab="0"/>
  </bookViews>
  <sheets>
    <sheet name="Statements" sheetId="1" r:id="rId1"/>
    <sheet name="Balance Sheet" sheetId="2" state="hidden" r:id="rId2"/>
    <sheet name="Cash Flow" sheetId="3" state="hidden" r:id="rId3"/>
    <sheet name="Operations" sheetId="4" state="hidden" r:id="rId4"/>
    <sheet name="HeadCount" sheetId="5" state="hidden" r:id="rId5"/>
    <sheet name="wksht" sheetId="6" r:id="rId6"/>
  </sheets>
  <definedNames/>
  <calcPr fullCalcOnLoad="1"/>
</workbook>
</file>

<file path=xl/comments1.xml><?xml version="1.0" encoding="utf-8"?>
<comments xmlns="http://schemas.openxmlformats.org/spreadsheetml/2006/main">
  <authors>
    <author>Michael Dougherty</author>
  </authors>
  <commentList>
    <comment ref="B17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Equity Funding Phase I</t>
        </r>
      </text>
    </comment>
    <comment ref="A12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Start-up costs paid upfront/amortized over 25 mos:
Patents/Legal $40K
OEM dev $60K
UL Lab cert $70K
</t>
        </r>
      </text>
    </comment>
    <comment ref="A9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Mark Baldino</t>
        </r>
      </text>
    </comment>
    <comment ref="A38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Retained Earnings</t>
        </r>
      </text>
    </comment>
    <comment ref="B24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30 DSO</t>
        </r>
      </text>
    </comment>
    <comment ref="B26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Capitalized start-up costs (net)</t>
        </r>
      </text>
    </comment>
    <comment ref="F36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Phase II invest</t>
        </r>
      </text>
    </comment>
    <comment ref="N17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Phase II invest</t>
        </r>
      </text>
    </comment>
    <comment ref="N9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Acctg $40K
Prod Mgr $50K
Warehouse Mgr $50K</t>
        </r>
      </text>
    </comment>
    <comment ref="N11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per Phase 3
incr WC requirements
Occupancy
Travel
Other G&amp;A
R&amp;D</t>
        </r>
      </text>
    </comment>
    <comment ref="Q9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Acctg $40K
MB $160K
Prod Mgr $50K
Warehouse Mgr $50K</t>
        </r>
      </text>
    </comment>
    <comment ref="R9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Acctg $40K
MB $160K
Prod Mgr $50K
Warehouse Mgr $50K</t>
        </r>
      </text>
    </comment>
    <comment ref="S9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Acctg $40K
MB $160K
Prod Mgr $50K
Warehouse Mgr $50K</t>
        </r>
      </text>
    </comment>
    <comment ref="T9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Acctg $40K
MB $160K
Prod Mgr $50K
Warehouse Mgr $50K</t>
        </r>
      </text>
    </comment>
    <comment ref="U9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Acctg $40K
MB $160K
Prod Mgr $50K
Warehouse Mgr $50K</t>
        </r>
      </text>
    </comment>
    <comment ref="V9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Acctg $40K
MB $160K
Prod Mgr $50K
Warehouse Mgr $50K</t>
        </r>
      </text>
    </comment>
    <comment ref="W9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Acctg $40K
MB $160K
Prod Mgr $50K
Warehouse Mgr $50K</t>
        </r>
      </text>
    </comment>
    <comment ref="X9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Acctg $40K
MB $160K
Prod Mgr $50K
Warehouse Mgr $50K</t>
        </r>
      </text>
    </comment>
    <comment ref="Y9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Acctg $40K
MB $160K
Prod Mgr $50K
Warehouse Mgr $50K</t>
        </r>
      </text>
    </comment>
    <comment ref="Z9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Acctg $40K
MB $160K
Prod Mgr $50K
Warehouse Mgr $50K</t>
        </r>
      </text>
    </comment>
    <comment ref="N10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Per Phase III
Web site/printing/CRM/Video
Mgmt cos
Insurance cos</t>
        </r>
      </text>
    </comment>
    <comment ref="P10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Municpal sales
Alternative use markets</t>
        </r>
      </text>
    </comment>
    <comment ref="R10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Alarm cos
Consumer </t>
        </r>
      </text>
    </comment>
    <comment ref="O11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per Phase 3
incr WC requirements
Occupancy
Travel
Other G&amp;A
R&amp;D</t>
        </r>
      </text>
    </comment>
    <comment ref="P11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per Phase 3
incr WC requirements
Occupancy
Travel
Other G&amp;A
R&amp;D</t>
        </r>
      </text>
    </comment>
    <comment ref="Q11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per Phase 3
incr WC requirements
Occupancy
Travel
Other G&amp;A
R&amp;D</t>
        </r>
      </text>
    </comment>
    <comment ref="R11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per Phase 3
incr WC requirements
Occupancy
Travel
Other G&amp;A
R&amp;D</t>
        </r>
      </text>
    </comment>
    <comment ref="S11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per Phase 3
incr WC requirements
Occupancy
Travel
Other G&amp;A
R&amp;D</t>
        </r>
      </text>
    </comment>
    <comment ref="T11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per Phase 3
incr WC requirements
Occupancy
Travel
Other G&amp;A
R&amp;D</t>
        </r>
      </text>
    </comment>
    <comment ref="U11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per Phase 3
incr WC requirements
Occupancy
Travel
Other G&amp;A
R&amp;D</t>
        </r>
      </text>
    </comment>
    <comment ref="V11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per Phase 3
incr WC requirements
Occupancy
Travel
Other G&amp;A
R&amp;D</t>
        </r>
      </text>
    </comment>
    <comment ref="W11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per Phase 3
incr WC requirements
Occupancy
Travel
Other G&amp;A
R&amp;D</t>
        </r>
      </text>
    </comment>
    <comment ref="X11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per Phase 3
incr WC requirements
Occupancy
Travel
Other G&amp;A
R&amp;D</t>
        </r>
      </text>
    </comment>
    <comment ref="Y11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per Phase 3
incr WC requirements
Occupancy
Travel
Other G&amp;A
R&amp;D</t>
        </r>
      </text>
    </comment>
    <comment ref="Z11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per Phase 3
incr WC requirements
Occupancy
Travel
Other G&amp;A
R&amp;D</t>
        </r>
      </text>
    </comment>
    <comment ref="H36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Phase III invest</t>
        </r>
      </text>
    </comment>
    <comment ref="V17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Phase III invest</t>
        </r>
      </text>
    </comment>
    <comment ref="P17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Inventory investment</t>
        </r>
      </text>
    </comment>
  </commentList>
</comments>
</file>

<file path=xl/comments6.xml><?xml version="1.0" encoding="utf-8"?>
<comments xmlns="http://schemas.openxmlformats.org/spreadsheetml/2006/main">
  <authors>
    <author>Michael Dougherty</author>
  </authors>
  <commentList>
    <comment ref="C11" authorId="0">
      <text>
        <r>
          <rPr>
            <b/>
            <sz val="9"/>
            <rFont val="Tahoma"/>
            <family val="2"/>
          </rPr>
          <t>Michael Dougherty:</t>
        </r>
        <r>
          <rPr>
            <sz val="9"/>
            <rFont val="Tahoma"/>
            <family val="2"/>
          </rPr>
          <t xml:space="preserve">
based on 10,000.  Excludes economies of scale to be realized on increased production</t>
        </r>
      </text>
    </comment>
  </commentList>
</comments>
</file>

<file path=xl/sharedStrings.xml><?xml version="1.0" encoding="utf-8"?>
<sst xmlns="http://schemas.openxmlformats.org/spreadsheetml/2006/main" count="257" uniqueCount="152">
  <si>
    <t>4Q15</t>
  </si>
  <si>
    <t>1Q15</t>
  </si>
  <si>
    <t>2Q15</t>
  </si>
  <si>
    <t>3Q15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</si>
  <si>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</si>
  <si>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</si>
  <si>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</si>
  <si>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</si>
  <si>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</si>
  <si>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</si>
  <si>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</si>
  <si>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</si>
  <si>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</si>
  <si>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</si>
  <si>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</si>
  <si>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</si>
  <si>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Revenue Stream 1</t>
  </si>
  <si>
    <t>Revenue Stream 2</t>
  </si>
  <si>
    <t>Revenue Stream 3</t>
  </si>
  <si>
    <t>Revenue Stream 4</t>
  </si>
  <si>
    <t>Revenue Stream 5</t>
  </si>
  <si>
    <t>Revenue Stream 6</t>
  </si>
  <si>
    <t>Revenue Stream 7</t>
  </si>
  <si>
    <t>Revenue Stream 8</t>
  </si>
  <si>
    <t>Revenue Stream 9</t>
  </si>
  <si>
    <t>Revenue Stream 10</t>
  </si>
  <si>
    <t>Gross Profit</t>
  </si>
  <si>
    <t>Gross Margin</t>
  </si>
  <si>
    <t>Consolidated Opex</t>
  </si>
  <si>
    <t>Other</t>
  </si>
  <si>
    <t>Cash and ST Securities</t>
  </si>
  <si>
    <t>Accounts Receivable</t>
  </si>
  <si>
    <t>Inventories</t>
  </si>
  <si>
    <t>Other Current Assets</t>
  </si>
  <si>
    <t>Total Current Assets</t>
  </si>
  <si>
    <t>Plant &amp; Equipment</t>
  </si>
  <si>
    <t>Other Non-Current Assets</t>
  </si>
  <si>
    <t>Total Non-Current Assets</t>
  </si>
  <si>
    <t>Total Assets</t>
  </si>
  <si>
    <t>Accounts Payable</t>
  </si>
  <si>
    <t>ST Debt</t>
  </si>
  <si>
    <t>Other Current Liabilities</t>
  </si>
  <si>
    <t>Total Current Liabilities</t>
  </si>
  <si>
    <t>Total Liabilities</t>
  </si>
  <si>
    <t>Other LT Liabilities</t>
  </si>
  <si>
    <t>Total Non-Current Liabilities</t>
  </si>
  <si>
    <t>Common Stock</t>
  </si>
  <si>
    <t>Preferred Stock</t>
  </si>
  <si>
    <t>Retained Earnings</t>
  </si>
  <si>
    <t>Total Shareholders Equity</t>
  </si>
  <si>
    <t>Beginning Cash</t>
  </si>
  <si>
    <t>Net Increase/Decrease</t>
  </si>
  <si>
    <t>Ending Cash</t>
  </si>
  <si>
    <t>Sales Volume (Product 1)</t>
  </si>
  <si>
    <t>Sales Volume (Product 2)</t>
  </si>
  <si>
    <t>Sales Volume (Product 3)</t>
  </si>
  <si>
    <t>Sales Volume (Product 4)</t>
  </si>
  <si>
    <t>Sales Volume (Product 5)</t>
  </si>
  <si>
    <t>Sales Volume (Product 6)</t>
  </si>
  <si>
    <t>Sales Volume (Product 7)</t>
  </si>
  <si>
    <t>Sales Volume (Product 8)</t>
  </si>
  <si>
    <t>Sales Volume (Product 9)</t>
  </si>
  <si>
    <t>Sales Volume (Product 10)</t>
  </si>
  <si>
    <t>Sales price (Product 1)</t>
  </si>
  <si>
    <t>Sales price (Product 2)</t>
  </si>
  <si>
    <t>Sales price (Product 3)</t>
  </si>
  <si>
    <t>Sales price (Product 4)</t>
  </si>
  <si>
    <t>Sales price (Product 5)</t>
  </si>
  <si>
    <t>Sales price (Product 6)</t>
  </si>
  <si>
    <t>Sales price (Product 7)</t>
  </si>
  <si>
    <t>Sales price (Product 8)</t>
  </si>
  <si>
    <t>Sales price (Product 10)</t>
  </si>
  <si>
    <t>Sales price (Product 9)</t>
  </si>
  <si>
    <t>Total Liabilities and Shareholders Equity</t>
  </si>
  <si>
    <t>Deferred Revenue</t>
  </si>
  <si>
    <t>Accumulated Other Comprehensive Income / APIC</t>
  </si>
  <si>
    <t>Convertible Notes</t>
  </si>
  <si>
    <t>LT Debt and Notes Payable</t>
  </si>
  <si>
    <t>C-Suite</t>
  </si>
  <si>
    <t>CXO 1 ($-based annual salary)</t>
  </si>
  <si>
    <t>CXO 2 ($-based annual salary)</t>
  </si>
  <si>
    <t>CXO 3 ($-based annual salary)</t>
  </si>
  <si>
    <t>CXO 4 ($-based annual salary)</t>
  </si>
  <si>
    <t>CXO 5 ($-based annual salary)</t>
  </si>
  <si>
    <t>CXO 6 ($-based annual salary)</t>
  </si>
  <si>
    <t>CXO 7 ($-based annual salary)</t>
  </si>
  <si>
    <t>CXO 8 ($-based annual salary)</t>
  </si>
  <si>
    <t>CXO 9 ($-based annual salary)</t>
  </si>
  <si>
    <t>CXO 10($-based annual salary)</t>
  </si>
  <si>
    <t>Other Personnel</t>
  </si>
  <si>
    <t># of Personnel (Excluding C-Suite above)</t>
  </si>
  <si>
    <t>Total Salary of other personnel (Excluding C-Suite above)</t>
  </si>
  <si>
    <r>
      <t xml:space="preserve">Consolidated </t>
    </r>
    <r>
      <rPr>
        <b/>
        <u val="single"/>
        <sz val="11"/>
        <rFont val="Calibri"/>
        <family val="2"/>
      </rPr>
      <t>Net</t>
    </r>
    <r>
      <rPr>
        <b/>
        <sz val="11"/>
        <rFont val="Calibri"/>
        <family val="2"/>
      </rPr>
      <t xml:space="preserve"> Revenue</t>
    </r>
  </si>
  <si>
    <t>Salaries</t>
  </si>
  <si>
    <t>Sales &amp; Marketing</t>
  </si>
  <si>
    <t>Actual - Month Ended</t>
  </si>
  <si>
    <t>Operating Profit/Loss</t>
  </si>
  <si>
    <t>Cash</t>
  </si>
  <si>
    <t>Other Assets</t>
  </si>
  <si>
    <t>Other Debt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</si>
  <si>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</si>
  <si>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</si>
  <si>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</si>
  <si>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</si>
  <si>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</si>
  <si>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</si>
  <si>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</si>
  <si>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</si>
  <si>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</si>
  <si>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</si>
  <si>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</si>
  <si>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</si>
  <si>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</si>
  <si>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</si>
  <si>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</si>
  <si>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</si>
  <si>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</si>
  <si>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</si>
  <si>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</si>
  <si>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</si>
  <si>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</si>
  <si>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</si>
  <si>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</si>
  <si>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</si>
  <si>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</si>
  <si>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Units sold</t>
  </si>
  <si>
    <t>Unit price</t>
  </si>
  <si>
    <t>Unit $</t>
  </si>
  <si>
    <t>Revenue</t>
  </si>
  <si>
    <t>FireBot Sales</t>
  </si>
  <si>
    <t>COGS</t>
  </si>
  <si>
    <t>Cardboard Boxes</t>
  </si>
  <si>
    <t>Housings</t>
  </si>
  <si>
    <t>Pumps</t>
  </si>
  <si>
    <t>Circuit Boards/w batteries</t>
  </si>
  <si>
    <t>Suppressant</t>
  </si>
  <si>
    <t>Suppressant bags</t>
  </si>
  <si>
    <t>Nozzles</t>
  </si>
  <si>
    <t>Component and Tubing Connectors</t>
  </si>
  <si>
    <t>Tubing</t>
  </si>
  <si>
    <t>Printed Instructions Warranty, T&amp;Cs</t>
  </si>
  <si>
    <t>Assembly and Testing</t>
  </si>
  <si>
    <t>Shipping</t>
  </si>
  <si>
    <t>Start up costs:</t>
  </si>
  <si>
    <t>Legal/Patents</t>
  </si>
  <si>
    <t>OEM</t>
  </si>
  <si>
    <t>300A UL certification</t>
  </si>
  <si>
    <t>Amortization</t>
  </si>
  <si>
    <t>Other G&amp;A</t>
  </si>
  <si>
    <t>Projections - Month Ended</t>
  </si>
  <si>
    <t>Total Liabilities &amp; SE</t>
  </si>
  <si>
    <t>FireBot Projections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</si>
</sst>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"/>
    <numFmt numFmtId="173" formatCode="&quot;$&quot;#,##0.0_);[Red]\(&quot;$&quot;#,##0.0\)"/>
    <numFmt numFmtId="174" formatCode="&quot;$&quot;#,##0.00"/>
  </numFmts>
  <fonts count="59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5"/>
      <name val="Calibri"/>
      <family val="2"/>
    </font>
    <font>
      <sz val="11"/>
      <color indexed="15"/>
      <name val="Calibri"/>
      <family val="2"/>
    </font>
    <font>
      <sz val="11"/>
      <name val="Calibri"/>
      <family val="0"/>
    </font>
    <font>
      <i/>
      <sz val="11"/>
      <name val="Calibri"/>
      <family val="2"/>
    </font>
    <font>
      <i/>
      <sz val="11"/>
      <color indexed="15"/>
      <name val="Calibri"/>
      <family val="2"/>
    </font>
    <font>
      <u val="single"/>
      <sz val="11"/>
      <color indexed="8"/>
      <name val="Calibri"/>
      <family val="2"/>
    </font>
    <font>
      <sz val="11"/>
      <color indexed="47"/>
      <name val="Calibri"/>
      <family val="0"/>
    </font>
    <font>
      <sz val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i/>
      <sz val="11"/>
      <color rgb="FF0070C0"/>
      <name val="Calibri"/>
      <family val="2"/>
    </font>
    <font>
      <u val="single"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8" borderId="0" xfId="0" applyFont="1" applyFill="1" applyAlignment="1">
      <alignment/>
    </xf>
    <xf numFmtId="0" fontId="0" fillId="0" borderId="0" xfId="0" applyFill="1" applyAlignment="1">
      <alignment/>
    </xf>
    <xf numFmtId="0" fontId="52" fillId="3" borderId="0" xfId="0" applyFont="1" applyFill="1" applyAlignment="1">
      <alignment/>
    </xf>
    <xf numFmtId="0" fontId="0" fillId="3" borderId="0" xfId="0" applyFill="1" applyAlignment="1">
      <alignment/>
    </xf>
    <xf numFmtId="0" fontId="51" fillId="7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1" fillId="2" borderId="10" xfId="0" applyFont="1" applyFill="1" applyBorder="1" applyAlignment="1">
      <alignment/>
    </xf>
    <xf numFmtId="172" fontId="51" fillId="2" borderId="11" xfId="42" applyNumberFormat="1" applyFont="1" applyFill="1" applyBorder="1" applyAlignment="1">
      <alignment/>
    </xf>
    <xf numFmtId="172" fontId="51" fillId="2" borderId="12" xfId="42" applyNumberFormat="1" applyFont="1" applyFill="1" applyBorder="1" applyAlignment="1">
      <alignment/>
    </xf>
    <xf numFmtId="172" fontId="51" fillId="0" borderId="0" xfId="42" applyNumberFormat="1" applyFont="1" applyFill="1" applyBorder="1" applyAlignment="1">
      <alignment/>
    </xf>
    <xf numFmtId="0" fontId="5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2" fillId="3" borderId="13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51" fillId="0" borderId="13" xfId="0" applyFont="1" applyBorder="1" applyAlignment="1">
      <alignment/>
    </xf>
    <xf numFmtId="0" fontId="51" fillId="0" borderId="15" xfId="0" applyFont="1" applyBorder="1" applyAlignment="1">
      <alignment/>
    </xf>
    <xf numFmtId="0" fontId="0" fillId="34" borderId="18" xfId="0" applyFill="1" applyBorder="1" applyAlignment="1">
      <alignment horizontal="centerContinuous"/>
    </xf>
    <xf numFmtId="0" fontId="53" fillId="34" borderId="19" xfId="0" applyFont="1" applyFill="1" applyBorder="1" applyAlignment="1">
      <alignment horizontal="centerContinuous"/>
    </xf>
    <xf numFmtId="0" fontId="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173" fontId="51" fillId="0" borderId="20" xfId="0" applyNumberFormat="1" applyFont="1" applyFill="1" applyBorder="1" applyAlignment="1">
      <alignment/>
    </xf>
    <xf numFmtId="173" fontId="51" fillId="0" borderId="0" xfId="0" applyNumberFormat="1" applyFont="1" applyFill="1" applyBorder="1" applyAlignment="1">
      <alignment/>
    </xf>
    <xf numFmtId="9" fontId="5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3" fontId="54" fillId="35" borderId="0" xfId="0" applyNumberFormat="1" applyFont="1" applyFill="1" applyBorder="1" applyAlignment="1">
      <alignment/>
    </xf>
    <xf numFmtId="173" fontId="55" fillId="35" borderId="20" xfId="0" applyNumberFormat="1" applyFont="1" applyFill="1" applyBorder="1" applyAlignment="1">
      <alignment/>
    </xf>
    <xf numFmtId="173" fontId="55" fillId="35" borderId="0" xfId="0" applyNumberFormat="1" applyFont="1" applyFill="1" applyBorder="1" applyAlignment="1">
      <alignment/>
    </xf>
    <xf numFmtId="173" fontId="28" fillId="0" borderId="0" xfId="0" applyNumberFormat="1" applyFont="1" applyFill="1" applyBorder="1" applyAlignment="1">
      <alignment/>
    </xf>
    <xf numFmtId="0" fontId="0" fillId="0" borderId="20" xfId="0" applyBorder="1" applyAlignment="1">
      <alignment/>
    </xf>
    <xf numFmtId="173" fontId="51" fillId="0" borderId="21" xfId="0" applyNumberFormat="1" applyFont="1" applyBorder="1" applyAlignment="1">
      <alignment/>
    </xf>
    <xf numFmtId="0" fontId="29" fillId="35" borderId="0" xfId="0" applyFont="1" applyFill="1" applyAlignment="1">
      <alignment/>
    </xf>
    <xf numFmtId="173" fontId="56" fillId="35" borderId="0" xfId="0" applyNumberFormat="1" applyFont="1" applyFill="1" applyBorder="1" applyAlignment="1">
      <alignment/>
    </xf>
    <xf numFmtId="0" fontId="0" fillId="34" borderId="22" xfId="0" applyFill="1" applyBorder="1" applyAlignment="1">
      <alignment horizontal="centerContinuous"/>
    </xf>
    <xf numFmtId="0" fontId="0" fillId="34" borderId="23" xfId="0" applyFill="1" applyBorder="1" applyAlignment="1">
      <alignment horizontal="centerContinuous"/>
    </xf>
    <xf numFmtId="0" fontId="0" fillId="34" borderId="24" xfId="0" applyFill="1" applyBorder="1" applyAlignment="1">
      <alignment horizontal="centerContinuous"/>
    </xf>
    <xf numFmtId="165" fontId="55" fillId="35" borderId="20" xfId="0" applyNumberFormat="1" applyFont="1" applyFill="1" applyBorder="1" applyAlignment="1">
      <alignment/>
    </xf>
    <xf numFmtId="165" fontId="55" fillId="35" borderId="0" xfId="0" applyNumberFormat="1" applyFont="1" applyFill="1" applyBorder="1" applyAlignment="1">
      <alignment/>
    </xf>
    <xf numFmtId="165" fontId="28" fillId="0" borderId="0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2" fillId="0" borderId="0" xfId="0" applyNumberFormat="1" applyFont="1" applyFill="1" applyBorder="1" applyAlignment="1">
      <alignment/>
    </xf>
    <xf numFmtId="0" fontId="28" fillId="0" borderId="0" xfId="0" applyFont="1" applyAlignment="1">
      <alignment/>
    </xf>
    <xf numFmtId="165" fontId="55" fillId="35" borderId="24" xfId="0" applyNumberFormat="1" applyFont="1" applyFill="1" applyBorder="1" applyAlignment="1">
      <alignment/>
    </xf>
    <xf numFmtId="173" fontId="51" fillId="0" borderId="24" xfId="0" applyNumberFormat="1" applyFont="1" applyFill="1" applyBorder="1" applyAlignment="1">
      <alignment/>
    </xf>
    <xf numFmtId="0" fontId="0" fillId="0" borderId="24" xfId="0" applyBorder="1" applyAlignment="1">
      <alignment/>
    </xf>
    <xf numFmtId="173" fontId="55" fillId="35" borderId="24" xfId="0" applyNumberFormat="1" applyFont="1" applyFill="1" applyBorder="1" applyAlignment="1">
      <alignment/>
    </xf>
    <xf numFmtId="173" fontId="51" fillId="0" borderId="25" xfId="0" applyNumberFormat="1" applyFont="1" applyBorder="1" applyAlignment="1">
      <alignment/>
    </xf>
    <xf numFmtId="173" fontId="51" fillId="0" borderId="26" xfId="0" applyNumberFormat="1" applyFont="1" applyBorder="1" applyAlignment="1">
      <alignment/>
    </xf>
    <xf numFmtId="0" fontId="53" fillId="34" borderId="27" xfId="0" applyFont="1" applyFill="1" applyBorder="1" applyAlignment="1">
      <alignment horizontal="centerContinuous"/>
    </xf>
    <xf numFmtId="165" fontId="28" fillId="0" borderId="20" xfId="0" applyNumberFormat="1" applyFont="1" applyFill="1" applyBorder="1" applyAlignment="1">
      <alignment/>
    </xf>
    <xf numFmtId="165" fontId="28" fillId="0" borderId="24" xfId="0" applyNumberFormat="1" applyFont="1" applyFill="1" applyBorder="1" applyAlignment="1">
      <alignment/>
    </xf>
    <xf numFmtId="0" fontId="51" fillId="0" borderId="25" xfId="0" applyFont="1" applyFill="1" applyBorder="1" applyAlignment="1">
      <alignment horizontal="center"/>
    </xf>
    <xf numFmtId="17" fontId="51" fillId="0" borderId="0" xfId="0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174" fontId="0" fillId="0" borderId="25" xfId="0" applyNumberFormat="1" applyBorder="1" applyAlignment="1">
      <alignment/>
    </xf>
    <xf numFmtId="37" fontId="0" fillId="0" borderId="0" xfId="0" applyNumberFormat="1" applyAlignment="1">
      <alignment/>
    </xf>
    <xf numFmtId="37" fontId="0" fillId="0" borderId="25" xfId="0" applyNumberFormat="1" applyBorder="1" applyAlignment="1">
      <alignment/>
    </xf>
    <xf numFmtId="0" fontId="5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21</xdr:row>
      <xdr:rowOff>38100</xdr:rowOff>
    </xdr:from>
    <xdr:to>
      <xdr:col>12</xdr:col>
      <xdr:colOff>0</xdr:colOff>
      <xdr:row>31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315325" y="4038600"/>
          <a:ext cx="2181225" cy="199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Contact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Mark Baldino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703-906-3154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mark@firebotsuppression.com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523875</xdr:colOff>
      <xdr:row>2</xdr:row>
      <xdr:rowOff>28575</xdr:rowOff>
    </xdr:from>
    <xdr:to>
      <xdr:col>21</xdr:col>
      <xdr:colOff>504825</xdr:colOff>
      <xdr:row>9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67600" y="390525"/>
          <a:ext cx="234315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fill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all blank cells that are colored in </a:t>
          </a:r>
          <a:r>
            <a:rPr lang="en-US" cap="none" sz="1100" b="0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light orange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If a balance sheet line is not relevant to your business, please leave it blank.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feel free to make notes in the cells.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6</xdr:col>
      <xdr:colOff>523875</xdr:colOff>
      <xdr:row>15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24175" y="1066800"/>
          <a:ext cx="2295525" cy="1724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fill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all blank cells that are colored in </a:t>
          </a:r>
          <a:r>
            <a:rPr lang="en-US" cap="none" sz="1100" b="0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light orange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feel free to make notes in the cells.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1</xdr:row>
      <xdr:rowOff>142875</xdr:rowOff>
    </xdr:from>
    <xdr:to>
      <xdr:col>22</xdr:col>
      <xdr:colOff>9525</xdr:colOff>
      <xdr:row>24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58575" y="333375"/>
          <a:ext cx="236220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feel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free to paste your own operational assumptions - or to simply paste in your own unit economics below. The structure provides is basic guidance - and does not have to be used. We understand that different business models have different operational structures and different methods of recording sales.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feel free to make notes in the cells.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9525</xdr:rowOff>
    </xdr:from>
    <xdr:to>
      <xdr:col>13</xdr:col>
      <xdr:colOff>523875</xdr:colOff>
      <xdr:row>19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58150" y="371475"/>
          <a:ext cx="2886075" cy="30003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fill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all blank cells that are colored in </a:t>
          </a:r>
          <a:r>
            <a:rPr lang="en-US" cap="none" sz="1100" b="0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light orange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Please feel free to make notes in the cells. The Top chart is only for C-Suite company operatives - please input annual salary for each C-Suite employee.  The bottom chart is a catch-all for all other employees (# of employees) as well as the total annual salary expected to be paid out to all other employees (excluding C-Suite Employees mentioned in the top chart).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workbookViewId="0" topLeftCell="A1">
      <selection activeCell="O25" sqref="O25"/>
    </sheetView>
  </sheetViews>
  <sheetFormatPr defaultColWidth="8.8515625" defaultRowHeight="15"/>
  <cols>
    <col min="1" max="1" width="27.8515625" style="0" bestFit="1" customWidth="1"/>
    <col min="2" max="2" width="11.7109375" style="0" bestFit="1" customWidth="1"/>
    <col min="3" max="3" width="10.8515625" style="0" bestFit="1" customWidth="1"/>
    <col min="4" max="4" width="11.7109375" style="0" bestFit="1" customWidth="1"/>
    <col min="5" max="5" width="11.8515625" style="0" customWidth="1"/>
    <col min="6" max="9" width="12.28125" style="0" bestFit="1" customWidth="1"/>
    <col min="10" max="10" width="10.8515625" style="0" bestFit="1" customWidth="1"/>
    <col min="11" max="14" width="11.7109375" style="0" bestFit="1" customWidth="1"/>
    <col min="15" max="26" width="12.28125" style="0" bestFit="1" customWidth="1"/>
  </cols>
  <sheetData>
    <row r="1" ht="15">
      <c r="A1" s="1" t="s">
        <v>151</v>
      </c>
    </row>
    <row r="2" spans="2:26" ht="15">
      <c r="B2" s="30" t="s">
        <v>149</v>
      </c>
      <c r="C2" s="29"/>
      <c r="D2" s="29"/>
      <c r="E2" s="46"/>
      <c r="F2" s="47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5">
      <c r="A3" s="9"/>
      <c r="B3" s="65" t="s">
        <v>100</v>
      </c>
      <c r="C3" s="65" t="s">
        <v>101</v>
      </c>
      <c r="D3" s="65" t="s">
        <v>102</v>
      </c>
      <c r="E3" s="65" t="s">
        <v>103</v>
      </c>
      <c r="F3" s="65" t="s">
        <v>104</v>
      </c>
      <c r="G3" s="65" t="s">
        <v>105</v>
      </c>
      <c r="H3" s="65" t="s">
        <v>106</v>
      </c>
      <c r="I3" s="65" t="s">
        <v>107</v>
      </c>
      <c r="J3" s="65" t="s">
        <v>108</v>
      </c>
      <c r="K3" s="65" t="s">
        <v>109</v>
      </c>
      <c r="L3" s="65" t="s">
        <v>110</v>
      </c>
      <c r="M3" s="65" t="s">
        <v>111</v>
      </c>
      <c r="N3" s="65" t="s">
        <v>112</v>
      </c>
      <c r="O3" s="65" t="s">
        <v>113</v>
      </c>
      <c r="P3" s="65" t="s">
        <v>114</v>
      </c>
      <c r="Q3" s="65" t="s">
        <v>115</v>
      </c>
      <c r="R3" s="65" t="s">
        <v>116</v>
      </c>
      <c r="S3" s="65" t="s">
        <v>117</v>
      </c>
      <c r="T3" s="65" t="s">
        <v>118</v>
      </c>
      <c r="U3" s="65" t="s">
        <v>119</v>
      </c>
      <c r="V3" s="65" t="s">
        <v>120</v>
      </c>
      <c r="W3" s="65" t="s">
        <v>121</v>
      </c>
      <c r="X3" s="65" t="s">
        <v>122</v>
      </c>
      <c r="Y3" s="65" t="s">
        <v>123</v>
      </c>
      <c r="Z3" s="65" t="s">
        <v>124</v>
      </c>
    </row>
    <row r="4" spans="1:26" s="54" customFormat="1" ht="15">
      <c r="A4" s="31" t="s">
        <v>92</v>
      </c>
      <c r="B4" s="53">
        <f aca="true" t="shared" si="0" ref="B4:Z4">SUM(B5:B5)</f>
        <v>15000</v>
      </c>
      <c r="C4" s="53">
        <f t="shared" si="0"/>
        <v>16500</v>
      </c>
      <c r="D4" s="53">
        <f t="shared" si="0"/>
        <v>18000</v>
      </c>
      <c r="E4" s="53">
        <f t="shared" si="0"/>
        <v>19500</v>
      </c>
      <c r="F4" s="53">
        <f t="shared" si="0"/>
        <v>21000</v>
      </c>
      <c r="G4" s="53">
        <f t="shared" si="0"/>
        <v>22500</v>
      </c>
      <c r="H4" s="53">
        <f t="shared" si="0"/>
        <v>24000</v>
      </c>
      <c r="I4" s="53">
        <f t="shared" si="0"/>
        <v>25500</v>
      </c>
      <c r="J4" s="53">
        <f t="shared" si="0"/>
        <v>27000</v>
      </c>
      <c r="K4" s="53">
        <f t="shared" si="0"/>
        <v>28500</v>
      </c>
      <c r="L4" s="53">
        <f t="shared" si="0"/>
        <v>30000</v>
      </c>
      <c r="M4" s="53">
        <f t="shared" si="0"/>
        <v>31500</v>
      </c>
      <c r="N4" s="53">
        <f t="shared" si="0"/>
        <v>39000</v>
      </c>
      <c r="O4" s="53">
        <f t="shared" si="0"/>
        <v>48000</v>
      </c>
      <c r="P4" s="53">
        <f t="shared" si="0"/>
        <v>58500</v>
      </c>
      <c r="Q4" s="53">
        <f t="shared" si="0"/>
        <v>70500</v>
      </c>
      <c r="R4" s="53">
        <f t="shared" si="0"/>
        <v>84000</v>
      </c>
      <c r="S4" s="53">
        <f t="shared" si="0"/>
        <v>99000</v>
      </c>
      <c r="T4" s="53">
        <f t="shared" si="0"/>
        <v>114000</v>
      </c>
      <c r="U4" s="53">
        <f t="shared" si="0"/>
        <v>129000</v>
      </c>
      <c r="V4" s="53">
        <f t="shared" si="0"/>
        <v>144000</v>
      </c>
      <c r="W4" s="53">
        <f t="shared" si="0"/>
        <v>159000</v>
      </c>
      <c r="X4" s="53">
        <f t="shared" si="0"/>
        <v>174000</v>
      </c>
      <c r="Y4" s="53">
        <f t="shared" si="0"/>
        <v>189000</v>
      </c>
      <c r="Z4" s="53">
        <f t="shared" si="0"/>
        <v>204000</v>
      </c>
    </row>
    <row r="5" spans="1:26" s="2" customFormat="1" ht="15">
      <c r="A5" s="44" t="s">
        <v>129</v>
      </c>
      <c r="B5" s="45">
        <f>+wksht!D8</f>
        <v>15000</v>
      </c>
      <c r="C5" s="45">
        <f>+wksht!E8</f>
        <v>16500</v>
      </c>
      <c r="D5" s="45">
        <f>+wksht!F8</f>
        <v>18000</v>
      </c>
      <c r="E5" s="45">
        <f>+wksht!G8</f>
        <v>19500</v>
      </c>
      <c r="F5" s="45">
        <f>+wksht!H8</f>
        <v>21000</v>
      </c>
      <c r="G5" s="45">
        <f>+wksht!I8</f>
        <v>22500</v>
      </c>
      <c r="H5" s="45">
        <f>+wksht!J8</f>
        <v>24000</v>
      </c>
      <c r="I5" s="45">
        <f>+wksht!K8</f>
        <v>25500</v>
      </c>
      <c r="J5" s="45">
        <f>+wksht!L8</f>
        <v>27000</v>
      </c>
      <c r="K5" s="45">
        <f>+wksht!M8</f>
        <v>28500</v>
      </c>
      <c r="L5" s="45">
        <f>+wksht!N8</f>
        <v>30000</v>
      </c>
      <c r="M5" s="45">
        <f>+wksht!O8</f>
        <v>31500</v>
      </c>
      <c r="N5" s="45">
        <f>+wksht!P8</f>
        <v>39000</v>
      </c>
      <c r="O5" s="45">
        <f>+wksht!Q8</f>
        <v>48000</v>
      </c>
      <c r="P5" s="45">
        <f>+wksht!R8</f>
        <v>58500</v>
      </c>
      <c r="Q5" s="45">
        <f>+wksht!S8</f>
        <v>70500</v>
      </c>
      <c r="R5" s="45">
        <f>+wksht!T8</f>
        <v>84000</v>
      </c>
      <c r="S5" s="45">
        <f>+wksht!U8</f>
        <v>99000</v>
      </c>
      <c r="T5" s="45">
        <f>+wksht!V8</f>
        <v>114000</v>
      </c>
      <c r="U5" s="45">
        <f>+wksht!W8</f>
        <v>129000</v>
      </c>
      <c r="V5" s="45">
        <f>+wksht!X8</f>
        <v>144000</v>
      </c>
      <c r="W5" s="45">
        <f>+wksht!Y8</f>
        <v>159000</v>
      </c>
      <c r="X5" s="45">
        <f>+wksht!Z8</f>
        <v>174000</v>
      </c>
      <c r="Y5" s="45">
        <f>+wksht!AA8</f>
        <v>189000</v>
      </c>
      <c r="Z5" s="45">
        <f>+wksht!AB8</f>
        <v>204000</v>
      </c>
    </row>
    <row r="6" spans="1:26" s="1" customFormat="1" ht="15">
      <c r="A6" s="32" t="s">
        <v>26</v>
      </c>
      <c r="B6" s="38">
        <f>+wksht!D8-wksht!D11</f>
        <v>10900</v>
      </c>
      <c r="C6" s="38">
        <f>+wksht!E8-wksht!E11</f>
        <v>11990</v>
      </c>
      <c r="D6" s="38">
        <f>+wksht!F8-wksht!F11</f>
        <v>13080</v>
      </c>
      <c r="E6" s="38">
        <f>+wksht!G8-wksht!G11</f>
        <v>14170</v>
      </c>
      <c r="F6" s="38">
        <f>+wksht!H8-wksht!H11</f>
        <v>15260</v>
      </c>
      <c r="G6" s="38">
        <f>+wksht!I8-wksht!I11</f>
        <v>16350</v>
      </c>
      <c r="H6" s="38">
        <f>+wksht!J8-wksht!J11</f>
        <v>17440</v>
      </c>
      <c r="I6" s="38">
        <f>+wksht!K8-wksht!K11</f>
        <v>18530</v>
      </c>
      <c r="J6" s="38">
        <f>+wksht!L8-wksht!L11</f>
        <v>19620</v>
      </c>
      <c r="K6" s="38">
        <f>+wksht!M8-wksht!M11</f>
        <v>20710</v>
      </c>
      <c r="L6" s="38">
        <f>+wksht!N8-wksht!N11</f>
        <v>21800</v>
      </c>
      <c r="M6" s="38">
        <f>+wksht!O8-wksht!O11</f>
        <v>22890</v>
      </c>
      <c r="N6" s="38">
        <f>+wksht!P8-wksht!P11</f>
        <v>28340</v>
      </c>
      <c r="O6" s="38">
        <f>+wksht!Q8-wksht!Q11</f>
        <v>34880</v>
      </c>
      <c r="P6" s="38">
        <f>+wksht!R8-wksht!R11</f>
        <v>42510</v>
      </c>
      <c r="Q6" s="38">
        <f>+wksht!S8-wksht!S11</f>
        <v>51230</v>
      </c>
      <c r="R6" s="38">
        <f>+wksht!T8-wksht!T11</f>
        <v>61040</v>
      </c>
      <c r="S6" s="38">
        <f>+wksht!U8-wksht!U11</f>
        <v>71940</v>
      </c>
      <c r="T6" s="38">
        <f>+wksht!V8-wksht!V11</f>
        <v>82840</v>
      </c>
      <c r="U6" s="38">
        <f>+wksht!W8-wksht!W11</f>
        <v>93740</v>
      </c>
      <c r="V6" s="38">
        <f>+wksht!X8-wksht!X11</f>
        <v>104640</v>
      </c>
      <c r="W6" s="38">
        <f>+wksht!Y8-wksht!Y11</f>
        <v>115540</v>
      </c>
      <c r="X6" s="38">
        <f>+wksht!Z8-wksht!Z11</f>
        <v>126440</v>
      </c>
      <c r="Y6" s="38">
        <f>+wksht!AA8-wksht!AA11</f>
        <v>137340</v>
      </c>
      <c r="Z6" s="38">
        <f>+wksht!AB8-wksht!AB11</f>
        <v>148240</v>
      </c>
    </row>
    <row r="7" spans="1:26" ht="15">
      <c r="A7" s="33" t="s">
        <v>27</v>
      </c>
      <c r="B7" s="36">
        <f aca="true" t="shared" si="1" ref="B7:Z7">B6/B4</f>
        <v>0.7266666666666667</v>
      </c>
      <c r="C7" s="36">
        <f t="shared" si="1"/>
        <v>0.7266666666666667</v>
      </c>
      <c r="D7" s="36">
        <f t="shared" si="1"/>
        <v>0.7266666666666667</v>
      </c>
      <c r="E7" s="36">
        <f t="shared" si="1"/>
        <v>0.7266666666666667</v>
      </c>
      <c r="F7" s="36">
        <f t="shared" si="1"/>
        <v>0.7266666666666667</v>
      </c>
      <c r="G7" s="36">
        <f t="shared" si="1"/>
        <v>0.7266666666666667</v>
      </c>
      <c r="H7" s="36">
        <f t="shared" si="1"/>
        <v>0.7266666666666667</v>
      </c>
      <c r="I7" s="36">
        <f t="shared" si="1"/>
        <v>0.7266666666666667</v>
      </c>
      <c r="J7" s="36">
        <f t="shared" si="1"/>
        <v>0.7266666666666667</v>
      </c>
      <c r="K7" s="36">
        <f t="shared" si="1"/>
        <v>0.7266666666666667</v>
      </c>
      <c r="L7" s="36">
        <f t="shared" si="1"/>
        <v>0.7266666666666667</v>
      </c>
      <c r="M7" s="36">
        <f t="shared" si="1"/>
        <v>0.7266666666666667</v>
      </c>
      <c r="N7" s="36">
        <f t="shared" si="1"/>
        <v>0.7266666666666667</v>
      </c>
      <c r="O7" s="36">
        <f t="shared" si="1"/>
        <v>0.7266666666666667</v>
      </c>
      <c r="P7" s="36">
        <f t="shared" si="1"/>
        <v>0.7266666666666667</v>
      </c>
      <c r="Q7" s="36">
        <f t="shared" si="1"/>
        <v>0.7266666666666667</v>
      </c>
      <c r="R7" s="36">
        <f t="shared" si="1"/>
        <v>0.7266666666666667</v>
      </c>
      <c r="S7" s="36">
        <f t="shared" si="1"/>
        <v>0.7266666666666667</v>
      </c>
      <c r="T7" s="36">
        <f t="shared" si="1"/>
        <v>0.7266666666666667</v>
      </c>
      <c r="U7" s="36">
        <f t="shared" si="1"/>
        <v>0.7266666666666667</v>
      </c>
      <c r="V7" s="36">
        <f t="shared" si="1"/>
        <v>0.7266666666666667</v>
      </c>
      <c r="W7" s="36">
        <f t="shared" si="1"/>
        <v>0.7266666666666667</v>
      </c>
      <c r="X7" s="36">
        <f t="shared" si="1"/>
        <v>0.7266666666666667</v>
      </c>
      <c r="Y7" s="36">
        <f t="shared" si="1"/>
        <v>0.7266666666666667</v>
      </c>
      <c r="Z7" s="36">
        <f t="shared" si="1"/>
        <v>0.7266666666666667</v>
      </c>
    </row>
    <row r="8" spans="1:26" s="1" customFormat="1" ht="15">
      <c r="A8" s="32" t="s">
        <v>28</v>
      </c>
      <c r="B8" s="35">
        <f>SUM(B9:B12)</f>
        <v>21800</v>
      </c>
      <c r="C8" s="35">
        <f aca="true" t="shared" si="2" ref="C8:Z8">SUM(C9:C12)</f>
        <v>21800</v>
      </c>
      <c r="D8" s="35">
        <f t="shared" si="2"/>
        <v>21800</v>
      </c>
      <c r="E8" s="35">
        <f t="shared" si="2"/>
        <v>21800</v>
      </c>
      <c r="F8" s="35">
        <f t="shared" si="2"/>
        <v>21800</v>
      </c>
      <c r="G8" s="35">
        <f t="shared" si="2"/>
        <v>21800</v>
      </c>
      <c r="H8" s="35">
        <f t="shared" si="2"/>
        <v>21800</v>
      </c>
      <c r="I8" s="35">
        <f t="shared" si="2"/>
        <v>21800</v>
      </c>
      <c r="J8" s="35">
        <f t="shared" si="2"/>
        <v>21800</v>
      </c>
      <c r="K8" s="35">
        <f t="shared" si="2"/>
        <v>21800</v>
      </c>
      <c r="L8" s="35">
        <f t="shared" si="2"/>
        <v>21800</v>
      </c>
      <c r="M8" s="35">
        <f t="shared" si="2"/>
        <v>21800</v>
      </c>
      <c r="N8" s="35">
        <f t="shared" si="2"/>
        <v>83966.66666666666</v>
      </c>
      <c r="O8" s="35">
        <f t="shared" si="2"/>
        <v>83966.66666666666</v>
      </c>
      <c r="P8" s="35">
        <f t="shared" si="2"/>
        <v>92300</v>
      </c>
      <c r="Q8" s="35">
        <f t="shared" si="2"/>
        <v>102300</v>
      </c>
      <c r="R8" s="35">
        <f t="shared" si="2"/>
        <v>110633.33333333333</v>
      </c>
      <c r="S8" s="35">
        <f t="shared" si="2"/>
        <v>110633.33333333333</v>
      </c>
      <c r="T8" s="35">
        <f t="shared" si="2"/>
        <v>110633.33333333333</v>
      </c>
      <c r="U8" s="35">
        <f t="shared" si="2"/>
        <v>110633.33333333333</v>
      </c>
      <c r="V8" s="35">
        <f t="shared" si="2"/>
        <v>110633.33333333333</v>
      </c>
      <c r="W8" s="35">
        <f t="shared" si="2"/>
        <v>110633.33333333333</v>
      </c>
      <c r="X8" s="35">
        <f t="shared" si="2"/>
        <v>110633.33333333333</v>
      </c>
      <c r="Y8" s="35">
        <f t="shared" si="2"/>
        <v>110633.33333333333</v>
      </c>
      <c r="Z8" s="35">
        <f t="shared" si="2"/>
        <v>110633.33333333333</v>
      </c>
    </row>
    <row r="9" spans="1:26" ht="15">
      <c r="A9" s="37" t="s">
        <v>93</v>
      </c>
      <c r="B9" s="40">
        <f>(40000/12)</f>
        <v>3333.3333333333335</v>
      </c>
      <c r="C9" s="40">
        <f aca="true" t="shared" si="3" ref="C9:M9">(40000/12)</f>
        <v>3333.3333333333335</v>
      </c>
      <c r="D9" s="40">
        <f t="shared" si="3"/>
        <v>3333.3333333333335</v>
      </c>
      <c r="E9" s="40">
        <f t="shared" si="3"/>
        <v>3333.3333333333335</v>
      </c>
      <c r="F9" s="40">
        <f t="shared" si="3"/>
        <v>3333.3333333333335</v>
      </c>
      <c r="G9" s="40">
        <f t="shared" si="3"/>
        <v>3333.3333333333335</v>
      </c>
      <c r="H9" s="40">
        <f t="shared" si="3"/>
        <v>3333.3333333333335</v>
      </c>
      <c r="I9" s="40">
        <f t="shared" si="3"/>
        <v>3333.3333333333335</v>
      </c>
      <c r="J9" s="40">
        <f t="shared" si="3"/>
        <v>3333.3333333333335</v>
      </c>
      <c r="K9" s="40">
        <f t="shared" si="3"/>
        <v>3333.3333333333335</v>
      </c>
      <c r="L9" s="40">
        <f t="shared" si="3"/>
        <v>3333.3333333333335</v>
      </c>
      <c r="M9" s="40">
        <f t="shared" si="3"/>
        <v>3333.3333333333335</v>
      </c>
      <c r="N9" s="40">
        <f>(40000+40000+50000+50000)/12</f>
        <v>15000</v>
      </c>
      <c r="O9" s="40">
        <f>(40000+40000+50000+50000)/12</f>
        <v>15000</v>
      </c>
      <c r="P9" s="40">
        <f>(40000+40000+50000+50000)/12</f>
        <v>15000</v>
      </c>
      <c r="Q9" s="40">
        <f aca="true" t="shared" si="4" ref="Q9:Z9">(40000+160000+50000+50000)/12</f>
        <v>25000</v>
      </c>
      <c r="R9" s="40">
        <f t="shared" si="4"/>
        <v>25000</v>
      </c>
      <c r="S9" s="40">
        <f t="shared" si="4"/>
        <v>25000</v>
      </c>
      <c r="T9" s="40">
        <f t="shared" si="4"/>
        <v>25000</v>
      </c>
      <c r="U9" s="40">
        <f t="shared" si="4"/>
        <v>25000</v>
      </c>
      <c r="V9" s="40">
        <f t="shared" si="4"/>
        <v>25000</v>
      </c>
      <c r="W9" s="40">
        <f t="shared" si="4"/>
        <v>25000</v>
      </c>
      <c r="X9" s="40">
        <f t="shared" si="4"/>
        <v>25000</v>
      </c>
      <c r="Y9" s="40">
        <f t="shared" si="4"/>
        <v>25000</v>
      </c>
      <c r="Z9" s="40">
        <f t="shared" si="4"/>
        <v>25000</v>
      </c>
    </row>
    <row r="10" spans="1:26" ht="15">
      <c r="A10" s="37" t="s">
        <v>94</v>
      </c>
      <c r="B10" s="40">
        <f>80000/12</f>
        <v>6666.666666666667</v>
      </c>
      <c r="C10" s="40">
        <f aca="true" t="shared" si="5" ref="C10:M10">80000/12</f>
        <v>6666.666666666667</v>
      </c>
      <c r="D10" s="40">
        <f t="shared" si="5"/>
        <v>6666.666666666667</v>
      </c>
      <c r="E10" s="40">
        <f t="shared" si="5"/>
        <v>6666.666666666667</v>
      </c>
      <c r="F10" s="40">
        <f t="shared" si="5"/>
        <v>6666.666666666667</v>
      </c>
      <c r="G10" s="40">
        <f t="shared" si="5"/>
        <v>6666.666666666667</v>
      </c>
      <c r="H10" s="40">
        <f t="shared" si="5"/>
        <v>6666.666666666667</v>
      </c>
      <c r="I10" s="40">
        <f t="shared" si="5"/>
        <v>6666.666666666667</v>
      </c>
      <c r="J10" s="40">
        <f t="shared" si="5"/>
        <v>6666.666666666667</v>
      </c>
      <c r="K10" s="40">
        <f t="shared" si="5"/>
        <v>6666.666666666667</v>
      </c>
      <c r="L10" s="40">
        <f t="shared" si="5"/>
        <v>6666.666666666667</v>
      </c>
      <c r="M10" s="40">
        <f t="shared" si="5"/>
        <v>6666.666666666667</v>
      </c>
      <c r="N10" s="40">
        <f>(30000+30000+50000)/12</f>
        <v>9166.666666666666</v>
      </c>
      <c r="O10" s="40">
        <f>(30000+30000+50000)/12</f>
        <v>9166.666666666666</v>
      </c>
      <c r="P10" s="40">
        <f>(30000+30000+50000+50000+50000)/12</f>
        <v>17500</v>
      </c>
      <c r="Q10" s="40">
        <f>(30000+30000+50000+50000+50000)/12</f>
        <v>17500</v>
      </c>
      <c r="R10" s="40">
        <f aca="true" t="shared" si="6" ref="R10:Z10">(30000+30000+50000+50000+50000+50000+50000)/12</f>
        <v>25833.333333333332</v>
      </c>
      <c r="S10" s="40">
        <f t="shared" si="6"/>
        <v>25833.333333333332</v>
      </c>
      <c r="T10" s="40">
        <f t="shared" si="6"/>
        <v>25833.333333333332</v>
      </c>
      <c r="U10" s="40">
        <f t="shared" si="6"/>
        <v>25833.333333333332</v>
      </c>
      <c r="V10" s="40">
        <f t="shared" si="6"/>
        <v>25833.333333333332</v>
      </c>
      <c r="W10" s="40">
        <f t="shared" si="6"/>
        <v>25833.333333333332</v>
      </c>
      <c r="X10" s="40">
        <f t="shared" si="6"/>
        <v>25833.333333333332</v>
      </c>
      <c r="Y10" s="40">
        <f t="shared" si="6"/>
        <v>25833.333333333332</v>
      </c>
      <c r="Z10" s="40">
        <f t="shared" si="6"/>
        <v>25833.333333333332</v>
      </c>
    </row>
    <row r="11" spans="1:26" ht="15">
      <c r="A11" s="4" t="s">
        <v>148</v>
      </c>
      <c r="B11" s="40">
        <f>5000</f>
        <v>5000</v>
      </c>
      <c r="C11" s="40">
        <f>5000</f>
        <v>5000</v>
      </c>
      <c r="D11" s="40">
        <f>5000</f>
        <v>5000</v>
      </c>
      <c r="E11" s="40">
        <f>5000</f>
        <v>5000</v>
      </c>
      <c r="F11" s="40">
        <f>5000</f>
        <v>5000</v>
      </c>
      <c r="G11" s="40">
        <f>5000</f>
        <v>5000</v>
      </c>
      <c r="H11" s="40">
        <f>5000</f>
        <v>5000</v>
      </c>
      <c r="I11" s="40">
        <f>5000</f>
        <v>5000</v>
      </c>
      <c r="J11" s="40">
        <f>5000</f>
        <v>5000</v>
      </c>
      <c r="K11" s="40">
        <f>5000</f>
        <v>5000</v>
      </c>
      <c r="L11" s="40">
        <f>5000</f>
        <v>5000</v>
      </c>
      <c r="M11" s="40">
        <f>5000</f>
        <v>5000</v>
      </c>
      <c r="N11" s="40">
        <f>(360000+46000+150000+30000+50000)/12</f>
        <v>53000</v>
      </c>
      <c r="O11" s="40">
        <f aca="true" t="shared" si="7" ref="O11:Z11">(360000+46000+150000+30000+50000)/12</f>
        <v>53000</v>
      </c>
      <c r="P11" s="40">
        <f t="shared" si="7"/>
        <v>53000</v>
      </c>
      <c r="Q11" s="40">
        <f t="shared" si="7"/>
        <v>53000</v>
      </c>
      <c r="R11" s="40">
        <f t="shared" si="7"/>
        <v>53000</v>
      </c>
      <c r="S11" s="40">
        <f t="shared" si="7"/>
        <v>53000</v>
      </c>
      <c r="T11" s="40">
        <f t="shared" si="7"/>
        <v>53000</v>
      </c>
      <c r="U11" s="40">
        <f t="shared" si="7"/>
        <v>53000</v>
      </c>
      <c r="V11" s="40">
        <f t="shared" si="7"/>
        <v>53000</v>
      </c>
      <c r="W11" s="40">
        <f t="shared" si="7"/>
        <v>53000</v>
      </c>
      <c r="X11" s="40">
        <f t="shared" si="7"/>
        <v>53000</v>
      </c>
      <c r="Y11" s="40">
        <f t="shared" si="7"/>
        <v>53000</v>
      </c>
      <c r="Z11" s="40">
        <f t="shared" si="7"/>
        <v>53000</v>
      </c>
    </row>
    <row r="12" spans="1:26" ht="15">
      <c r="A12" s="4" t="s">
        <v>147</v>
      </c>
      <c r="B12" s="40">
        <f>((40000+60000+70000)/25)</f>
        <v>6800</v>
      </c>
      <c r="C12" s="40">
        <f aca="true" t="shared" si="8" ref="C12:Z12">((40000+60000+70000)/25)</f>
        <v>6800</v>
      </c>
      <c r="D12" s="40">
        <f t="shared" si="8"/>
        <v>6800</v>
      </c>
      <c r="E12" s="40">
        <f t="shared" si="8"/>
        <v>6800</v>
      </c>
      <c r="F12" s="40">
        <f t="shared" si="8"/>
        <v>6800</v>
      </c>
      <c r="G12" s="40">
        <f t="shared" si="8"/>
        <v>6800</v>
      </c>
      <c r="H12" s="40">
        <f t="shared" si="8"/>
        <v>6800</v>
      </c>
      <c r="I12" s="40">
        <f t="shared" si="8"/>
        <v>6800</v>
      </c>
      <c r="J12" s="40">
        <f t="shared" si="8"/>
        <v>6800</v>
      </c>
      <c r="K12" s="40">
        <f t="shared" si="8"/>
        <v>6800</v>
      </c>
      <c r="L12" s="40">
        <f t="shared" si="8"/>
        <v>6800</v>
      </c>
      <c r="M12" s="40">
        <f t="shared" si="8"/>
        <v>6800</v>
      </c>
      <c r="N12" s="40">
        <f t="shared" si="8"/>
        <v>6800</v>
      </c>
      <c r="O12" s="40">
        <f t="shared" si="8"/>
        <v>6800</v>
      </c>
      <c r="P12" s="40">
        <f t="shared" si="8"/>
        <v>6800</v>
      </c>
      <c r="Q12" s="40">
        <f t="shared" si="8"/>
        <v>6800</v>
      </c>
      <c r="R12" s="40">
        <f t="shared" si="8"/>
        <v>6800</v>
      </c>
      <c r="S12" s="40">
        <f t="shared" si="8"/>
        <v>6800</v>
      </c>
      <c r="T12" s="40">
        <f t="shared" si="8"/>
        <v>6800</v>
      </c>
      <c r="U12" s="40">
        <f t="shared" si="8"/>
        <v>6800</v>
      </c>
      <c r="V12" s="40">
        <f t="shared" si="8"/>
        <v>6800</v>
      </c>
      <c r="W12" s="40">
        <f t="shared" si="8"/>
        <v>6800</v>
      </c>
      <c r="X12" s="40">
        <f t="shared" si="8"/>
        <v>6800</v>
      </c>
      <c r="Y12" s="40">
        <f t="shared" si="8"/>
        <v>6800</v>
      </c>
      <c r="Z12" s="40">
        <f t="shared" si="8"/>
        <v>6800</v>
      </c>
    </row>
    <row r="13" spans="1:26" ht="15">
      <c r="A13" s="32" t="s">
        <v>96</v>
      </c>
      <c r="B13" s="35">
        <f aca="true" t="shared" si="9" ref="B13:Z13">B6-B8</f>
        <v>-10900</v>
      </c>
      <c r="C13" s="35">
        <f t="shared" si="9"/>
        <v>-9810</v>
      </c>
      <c r="D13" s="35">
        <f t="shared" si="9"/>
        <v>-8720</v>
      </c>
      <c r="E13" s="35">
        <f t="shared" si="9"/>
        <v>-7630</v>
      </c>
      <c r="F13" s="35">
        <f t="shared" si="9"/>
        <v>-6540</v>
      </c>
      <c r="G13" s="35">
        <f t="shared" si="9"/>
        <v>-5450</v>
      </c>
      <c r="H13" s="35">
        <f t="shared" si="9"/>
        <v>-4360</v>
      </c>
      <c r="I13" s="35">
        <f t="shared" si="9"/>
        <v>-3270</v>
      </c>
      <c r="J13" s="35">
        <f t="shared" si="9"/>
        <v>-2180</v>
      </c>
      <c r="K13" s="35">
        <f t="shared" si="9"/>
        <v>-1090</v>
      </c>
      <c r="L13" s="35">
        <f t="shared" si="9"/>
        <v>0</v>
      </c>
      <c r="M13" s="35">
        <f t="shared" si="9"/>
        <v>1090</v>
      </c>
      <c r="N13" s="35">
        <f t="shared" si="9"/>
        <v>-55626.66666666666</v>
      </c>
      <c r="O13" s="35">
        <f t="shared" si="9"/>
        <v>-49086.66666666666</v>
      </c>
      <c r="P13" s="35">
        <f t="shared" si="9"/>
        <v>-49790</v>
      </c>
      <c r="Q13" s="35">
        <f t="shared" si="9"/>
        <v>-51070</v>
      </c>
      <c r="R13" s="35">
        <f t="shared" si="9"/>
        <v>-49593.33333333333</v>
      </c>
      <c r="S13" s="35">
        <f t="shared" si="9"/>
        <v>-38693.33333333333</v>
      </c>
      <c r="T13" s="35">
        <f t="shared" si="9"/>
        <v>-27793.33333333333</v>
      </c>
      <c r="U13" s="35">
        <f t="shared" si="9"/>
        <v>-16893.33333333333</v>
      </c>
      <c r="V13" s="35">
        <f t="shared" si="9"/>
        <v>-5993.3333333333285</v>
      </c>
      <c r="W13" s="35">
        <f t="shared" si="9"/>
        <v>4906.6666666666715</v>
      </c>
      <c r="X13" s="35">
        <f t="shared" si="9"/>
        <v>15806.666666666672</v>
      </c>
      <c r="Y13" s="35">
        <f t="shared" si="9"/>
        <v>26706.66666666667</v>
      </c>
      <c r="Z13" s="35">
        <f t="shared" si="9"/>
        <v>37606.66666666667</v>
      </c>
    </row>
    <row r="14" spans="5:26" ht="15"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2:26" ht="15">
      <c r="B15" s="30" t="s">
        <v>95</v>
      </c>
      <c r="C15" s="29"/>
      <c r="D15" s="29"/>
      <c r="E15" s="46"/>
      <c r="F15" s="47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2:26" ht="15">
      <c r="B16" s="65" t="s">
        <v>100</v>
      </c>
      <c r="C16" s="65" t="s">
        <v>101</v>
      </c>
      <c r="D16" s="65" t="s">
        <v>102</v>
      </c>
      <c r="E16" s="65" t="s">
        <v>103</v>
      </c>
      <c r="F16" s="65" t="s">
        <v>104</v>
      </c>
      <c r="G16" s="65" t="s">
        <v>105</v>
      </c>
      <c r="H16" s="65" t="s">
        <v>106</v>
      </c>
      <c r="I16" s="65" t="s">
        <v>107</v>
      </c>
      <c r="J16" s="65" t="s">
        <v>108</v>
      </c>
      <c r="K16" s="65" t="s">
        <v>109</v>
      </c>
      <c r="L16" s="65" t="s">
        <v>110</v>
      </c>
      <c r="M16" s="65" t="s">
        <v>111</v>
      </c>
      <c r="N16" s="65" t="s">
        <v>112</v>
      </c>
      <c r="O16" s="65" t="s">
        <v>113</v>
      </c>
      <c r="P16" s="65" t="s">
        <v>114</v>
      </c>
      <c r="Q16" s="65" t="s">
        <v>115</v>
      </c>
      <c r="R16" s="65" t="s">
        <v>116</v>
      </c>
      <c r="S16" s="65" t="s">
        <v>117</v>
      </c>
      <c r="T16" s="65" t="s">
        <v>118</v>
      </c>
      <c r="U16" s="65" t="s">
        <v>119</v>
      </c>
      <c r="V16" s="65" t="s">
        <v>120</v>
      </c>
      <c r="W16" s="65" t="s">
        <v>121</v>
      </c>
      <c r="X16" s="65" t="s">
        <v>122</v>
      </c>
      <c r="Y16" s="65" t="s">
        <v>123</v>
      </c>
      <c r="Z16" s="65">
        <v>42736</v>
      </c>
    </row>
    <row r="17" spans="1:26" ht="15">
      <c r="A17" s="10" t="s">
        <v>50</v>
      </c>
      <c r="B17" s="40">
        <v>350000</v>
      </c>
      <c r="C17" s="41">
        <f aca="true" t="shared" si="10" ref="C17:Z17">+B19</f>
        <v>170000</v>
      </c>
      <c r="D17" s="41">
        <f t="shared" si="10"/>
        <v>165900</v>
      </c>
      <c r="E17" s="41">
        <f t="shared" si="10"/>
        <v>162890</v>
      </c>
      <c r="F17" s="41">
        <f t="shared" si="10"/>
        <v>160970</v>
      </c>
      <c r="G17" s="41">
        <f t="shared" si="10"/>
        <v>160140</v>
      </c>
      <c r="H17" s="41">
        <f t="shared" si="10"/>
        <v>160400</v>
      </c>
      <c r="I17" s="41">
        <f t="shared" si="10"/>
        <v>161750</v>
      </c>
      <c r="J17" s="41">
        <f t="shared" si="10"/>
        <v>164190</v>
      </c>
      <c r="K17" s="41">
        <f t="shared" si="10"/>
        <v>167720</v>
      </c>
      <c r="L17" s="41">
        <f t="shared" si="10"/>
        <v>172340</v>
      </c>
      <c r="M17" s="41">
        <f t="shared" si="10"/>
        <v>178050</v>
      </c>
      <c r="N17" s="41">
        <f>+M19+550000</f>
        <v>734850</v>
      </c>
      <c r="O17" s="41">
        <f t="shared" si="10"/>
        <v>728573.3333333334</v>
      </c>
      <c r="P17" s="41">
        <f>+O19-410000</f>
        <v>269746.66666666674</v>
      </c>
      <c r="Q17" s="41">
        <f t="shared" si="10"/>
        <v>219126.66666666674</v>
      </c>
      <c r="R17" s="41">
        <f t="shared" si="10"/>
        <v>166136.66666666674</v>
      </c>
      <c r="S17" s="41">
        <f t="shared" si="10"/>
        <v>113533.33333333342</v>
      </c>
      <c r="T17" s="41">
        <f t="shared" si="10"/>
        <v>70740.00000000009</v>
      </c>
      <c r="U17" s="41">
        <f t="shared" si="10"/>
        <v>38846.66666666676</v>
      </c>
      <c r="V17" s="41">
        <f>+U19+1246000</f>
        <v>1263853.3333333335</v>
      </c>
      <c r="W17" s="41">
        <f t="shared" si="10"/>
        <v>1253760.0000000002</v>
      </c>
      <c r="X17" s="41">
        <f t="shared" si="10"/>
        <v>1254566.666666667</v>
      </c>
      <c r="Y17" s="41">
        <f t="shared" si="10"/>
        <v>1266273.3333333337</v>
      </c>
      <c r="Z17" s="41">
        <f t="shared" si="10"/>
        <v>1288880.0000000005</v>
      </c>
    </row>
    <row r="18" spans="1:26" ht="15">
      <c r="A18" s="8" t="s">
        <v>51</v>
      </c>
      <c r="B18" s="40">
        <f>-SUM(B9:B10)-wksht!C30:C30</f>
        <v>-180000</v>
      </c>
      <c r="C18" s="40">
        <f>+B6-C9-C10-B11</f>
        <v>-4100.000000000001</v>
      </c>
      <c r="D18" s="40">
        <f>+C6-D9-D10-C11</f>
        <v>-3010.000000000001</v>
      </c>
      <c r="E18" s="40">
        <f aca="true" t="shared" si="11" ref="E18:Z18">+D6-E9-E10-D11</f>
        <v>-1920.000000000001</v>
      </c>
      <c r="F18" s="40">
        <f t="shared" si="11"/>
        <v>-830.0000000000009</v>
      </c>
      <c r="G18" s="40">
        <f t="shared" si="11"/>
        <v>259.9999999999991</v>
      </c>
      <c r="H18" s="40">
        <f t="shared" si="11"/>
        <v>1349.999999999999</v>
      </c>
      <c r="I18" s="40">
        <f t="shared" si="11"/>
        <v>2439.999999999999</v>
      </c>
      <c r="J18" s="40">
        <f t="shared" si="11"/>
        <v>3530</v>
      </c>
      <c r="K18" s="40">
        <f t="shared" si="11"/>
        <v>4620</v>
      </c>
      <c r="L18" s="40">
        <f t="shared" si="11"/>
        <v>5710</v>
      </c>
      <c r="M18" s="40">
        <f t="shared" si="11"/>
        <v>6800</v>
      </c>
      <c r="N18" s="40">
        <f t="shared" si="11"/>
        <v>-6276.666666666666</v>
      </c>
      <c r="O18" s="40">
        <f t="shared" si="11"/>
        <v>-48826.666666666664</v>
      </c>
      <c r="P18" s="40">
        <f t="shared" si="11"/>
        <v>-50620</v>
      </c>
      <c r="Q18" s="40">
        <f t="shared" si="11"/>
        <v>-52990</v>
      </c>
      <c r="R18" s="40">
        <f t="shared" si="11"/>
        <v>-52603.33333333333</v>
      </c>
      <c r="S18" s="40">
        <f t="shared" si="11"/>
        <v>-42793.33333333333</v>
      </c>
      <c r="T18" s="40">
        <f t="shared" si="11"/>
        <v>-31893.333333333332</v>
      </c>
      <c r="U18" s="40">
        <f t="shared" si="11"/>
        <v>-20993.333333333332</v>
      </c>
      <c r="V18" s="40">
        <f t="shared" si="11"/>
        <v>-10093.333333333328</v>
      </c>
      <c r="W18" s="40">
        <f t="shared" si="11"/>
        <v>806.6666666666715</v>
      </c>
      <c r="X18" s="40">
        <f t="shared" si="11"/>
        <v>11706.666666666672</v>
      </c>
      <c r="Y18" s="40">
        <f t="shared" si="11"/>
        <v>22606.66666666667</v>
      </c>
      <c r="Z18" s="40">
        <f t="shared" si="11"/>
        <v>33506.66666666667</v>
      </c>
    </row>
    <row r="19" spans="1:26" ht="15">
      <c r="A19" s="9" t="s">
        <v>52</v>
      </c>
      <c r="B19" s="35">
        <f aca="true" t="shared" si="12" ref="B19:Z19">SUM(B17:B18)</f>
        <v>170000</v>
      </c>
      <c r="C19" s="35">
        <f t="shared" si="12"/>
        <v>165900</v>
      </c>
      <c r="D19" s="35">
        <f t="shared" si="12"/>
        <v>162890</v>
      </c>
      <c r="E19" s="35">
        <f t="shared" si="12"/>
        <v>160970</v>
      </c>
      <c r="F19" s="35">
        <f t="shared" si="12"/>
        <v>160140</v>
      </c>
      <c r="G19" s="35">
        <f t="shared" si="12"/>
        <v>160400</v>
      </c>
      <c r="H19" s="35">
        <f t="shared" si="12"/>
        <v>161750</v>
      </c>
      <c r="I19" s="35">
        <f t="shared" si="12"/>
        <v>164190</v>
      </c>
      <c r="J19" s="35">
        <f t="shared" si="12"/>
        <v>167720</v>
      </c>
      <c r="K19" s="35">
        <f t="shared" si="12"/>
        <v>172340</v>
      </c>
      <c r="L19" s="35">
        <f t="shared" si="12"/>
        <v>178050</v>
      </c>
      <c r="M19" s="35">
        <f t="shared" si="12"/>
        <v>184850</v>
      </c>
      <c r="N19" s="35">
        <f t="shared" si="12"/>
        <v>728573.3333333334</v>
      </c>
      <c r="O19" s="35">
        <f t="shared" si="12"/>
        <v>679746.6666666667</v>
      </c>
      <c r="P19" s="35">
        <f t="shared" si="12"/>
        <v>219126.66666666674</v>
      </c>
      <c r="Q19" s="35">
        <f t="shared" si="12"/>
        <v>166136.66666666674</v>
      </c>
      <c r="R19" s="35">
        <f t="shared" si="12"/>
        <v>113533.33333333342</v>
      </c>
      <c r="S19" s="35">
        <f t="shared" si="12"/>
        <v>70740.00000000009</v>
      </c>
      <c r="T19" s="35">
        <f t="shared" si="12"/>
        <v>38846.66666666676</v>
      </c>
      <c r="U19" s="35">
        <f t="shared" si="12"/>
        <v>17853.333333333427</v>
      </c>
      <c r="V19" s="35">
        <f t="shared" si="12"/>
        <v>1253760.0000000002</v>
      </c>
      <c r="W19" s="35">
        <f t="shared" si="12"/>
        <v>1254566.666666667</v>
      </c>
      <c r="X19" s="35">
        <f t="shared" si="12"/>
        <v>1266273.3333333337</v>
      </c>
      <c r="Y19" s="35">
        <f t="shared" si="12"/>
        <v>1288880.0000000005</v>
      </c>
      <c r="Z19" s="35">
        <f t="shared" si="12"/>
        <v>1322386.6666666672</v>
      </c>
    </row>
    <row r="20" spans="3:14" ht="15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2:9" ht="15">
      <c r="B21" s="61" t="s">
        <v>149</v>
      </c>
      <c r="C21" s="48"/>
      <c r="D21" s="48"/>
      <c r="E21" s="48"/>
      <c r="F21" s="48"/>
      <c r="G21" s="48"/>
      <c r="H21" s="48"/>
      <c r="I21" s="48"/>
    </row>
    <row r="22" spans="2:9" ht="15">
      <c r="B22" s="64" t="s">
        <v>102</v>
      </c>
      <c r="C22" s="64" t="s">
        <v>105</v>
      </c>
      <c r="D22" s="64" t="s">
        <v>108</v>
      </c>
      <c r="E22" s="64" t="s">
        <v>111</v>
      </c>
      <c r="F22" s="64" t="s">
        <v>114</v>
      </c>
      <c r="G22" s="64" t="s">
        <v>117</v>
      </c>
      <c r="H22" s="64" t="s">
        <v>120</v>
      </c>
      <c r="I22" s="64" t="s">
        <v>123</v>
      </c>
    </row>
    <row r="23" spans="1:9" ht="15">
      <c r="A23" s="10" t="s">
        <v>97</v>
      </c>
      <c r="B23" s="62">
        <f>+D19</f>
        <v>162890</v>
      </c>
      <c r="C23" s="51">
        <f>+G19</f>
        <v>160400</v>
      </c>
      <c r="D23" s="51">
        <f>+J19</f>
        <v>167720</v>
      </c>
      <c r="E23" s="51">
        <f>+M19</f>
        <v>184850</v>
      </c>
      <c r="F23" s="51">
        <f>+P19</f>
        <v>219126.66666666674</v>
      </c>
      <c r="G23" s="51">
        <f>+S19</f>
        <v>70740.00000000009</v>
      </c>
      <c r="H23" s="51">
        <f>+V19</f>
        <v>1253760.0000000002</v>
      </c>
      <c r="I23" s="63">
        <f>+Y19</f>
        <v>1288880.0000000005</v>
      </c>
    </row>
    <row r="24" spans="1:9" ht="15">
      <c r="A24" s="9" t="s">
        <v>31</v>
      </c>
      <c r="B24" s="49">
        <f>+D5</f>
        <v>18000</v>
      </c>
      <c r="C24" s="50">
        <f>+G5</f>
        <v>22500</v>
      </c>
      <c r="D24" s="50">
        <f>+J5</f>
        <v>27000</v>
      </c>
      <c r="E24" s="50">
        <f>+M5</f>
        <v>31500</v>
      </c>
      <c r="F24" s="50">
        <f>+P5</f>
        <v>58500</v>
      </c>
      <c r="G24" s="50">
        <f>+S4</f>
        <v>99000</v>
      </c>
      <c r="H24" s="50">
        <f>+V5</f>
        <v>144000</v>
      </c>
      <c r="I24" s="55">
        <f>+Y5</f>
        <v>189000</v>
      </c>
    </row>
    <row r="25" spans="1:9" ht="15">
      <c r="A25" s="9" t="s">
        <v>32</v>
      </c>
      <c r="B25" s="49">
        <v>0</v>
      </c>
      <c r="C25" s="50">
        <v>0</v>
      </c>
      <c r="D25" s="50">
        <v>0</v>
      </c>
      <c r="E25" s="50">
        <v>0</v>
      </c>
      <c r="F25" s="50">
        <f>10000*wksht!$C24</f>
        <v>410000</v>
      </c>
      <c r="G25" s="50">
        <f>10000*wksht!$C24</f>
        <v>410000</v>
      </c>
      <c r="H25" s="50">
        <f>10000*wksht!$C24</f>
        <v>410000</v>
      </c>
      <c r="I25" s="55">
        <f>10000*wksht!$C24</f>
        <v>410000</v>
      </c>
    </row>
    <row r="26" spans="1:9" ht="15">
      <c r="A26" t="s">
        <v>98</v>
      </c>
      <c r="B26" s="39">
        <f>+wksht!$C30-SUM($B12:D12)</f>
        <v>149600</v>
      </c>
      <c r="C26" s="40">
        <f>+wksht!$C30-SUM($B12:G12)</f>
        <v>129200</v>
      </c>
      <c r="D26" s="40">
        <f>+wksht!$C30-SUM($B12:J12)</f>
        <v>108800</v>
      </c>
      <c r="E26" s="40">
        <f>+wksht!$C30-SUM($B12:M12)</f>
        <v>88400</v>
      </c>
      <c r="F26" s="40">
        <f>+wksht!$C30-SUM($B12:P12)</f>
        <v>68000</v>
      </c>
      <c r="G26" s="40">
        <f>+wksht!$C30-SUM($B12:S12)</f>
        <v>47600</v>
      </c>
      <c r="H26" s="40">
        <f>+wksht!$C30-SUM($B12:V12)</f>
        <v>27200</v>
      </c>
      <c r="I26" s="55">
        <f>+wksht!$C30-SUM($B12:Y12)</f>
        <v>6800</v>
      </c>
    </row>
    <row r="27" spans="1:9" ht="15">
      <c r="A27" s="1" t="s">
        <v>38</v>
      </c>
      <c r="B27" s="34">
        <f aca="true" t="shared" si="13" ref="B27:I27">SUM(B23:B26)</f>
        <v>330490</v>
      </c>
      <c r="C27" s="35">
        <f t="shared" si="13"/>
        <v>312100</v>
      </c>
      <c r="D27" s="35">
        <f t="shared" si="13"/>
        <v>303520</v>
      </c>
      <c r="E27" s="35">
        <f t="shared" si="13"/>
        <v>304750</v>
      </c>
      <c r="F27" s="35">
        <f t="shared" si="13"/>
        <v>755626.6666666667</v>
      </c>
      <c r="G27" s="35">
        <f t="shared" si="13"/>
        <v>627340.0000000001</v>
      </c>
      <c r="H27" s="35">
        <f t="shared" si="13"/>
        <v>1834960.0000000002</v>
      </c>
      <c r="I27" s="56">
        <f t="shared" si="13"/>
        <v>1894680.0000000005</v>
      </c>
    </row>
    <row r="28" spans="2:9" ht="15">
      <c r="B28" s="42"/>
      <c r="C28" s="17"/>
      <c r="D28" s="17"/>
      <c r="E28" s="17"/>
      <c r="F28" s="17"/>
      <c r="G28" s="17"/>
      <c r="H28" s="17"/>
      <c r="I28" s="57"/>
    </row>
    <row r="29" spans="1:9" ht="15">
      <c r="A29" s="9" t="s">
        <v>39</v>
      </c>
      <c r="B29" s="49">
        <f>+D11+wksht!F11</f>
        <v>9920</v>
      </c>
      <c r="C29" s="50">
        <f>+G11+wksht!I11</f>
        <v>11150</v>
      </c>
      <c r="D29" s="50">
        <f>+J11+wksht!L11</f>
        <v>12380</v>
      </c>
      <c r="E29" s="50">
        <f>+M11+wksht!O11</f>
        <v>13610</v>
      </c>
      <c r="F29" s="50">
        <f>+Statements!P11+wksht!R11</f>
        <v>68990</v>
      </c>
      <c r="G29" s="50">
        <f>+S11+wksht!U11</f>
        <v>80060</v>
      </c>
      <c r="H29" s="50">
        <f>+V11+wksht!X11</f>
        <v>92360</v>
      </c>
      <c r="I29" s="55">
        <f>+Y11+wksht!AA11</f>
        <v>104660</v>
      </c>
    </row>
    <row r="30" spans="1:9" ht="15">
      <c r="A30" s="9" t="s">
        <v>41</v>
      </c>
      <c r="B30" s="39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58">
        <v>0</v>
      </c>
    </row>
    <row r="31" spans="1:9" ht="15">
      <c r="A31" s="9" t="s">
        <v>76</v>
      </c>
      <c r="B31" s="39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58">
        <v>0</v>
      </c>
    </row>
    <row r="32" spans="1:9" ht="15">
      <c r="A32" s="9" t="s">
        <v>99</v>
      </c>
      <c r="B32" s="39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58">
        <v>0</v>
      </c>
    </row>
    <row r="33" spans="1:9" ht="15">
      <c r="A33" t="s">
        <v>44</v>
      </c>
      <c r="B33" s="39">
        <v>0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58">
        <v>0</v>
      </c>
    </row>
    <row r="34" spans="1:9" ht="15">
      <c r="A34" s="1" t="s">
        <v>43</v>
      </c>
      <c r="B34" s="34">
        <f aca="true" t="shared" si="14" ref="B34:I34">SUM(B29:B33)</f>
        <v>9920</v>
      </c>
      <c r="C34" s="35">
        <f t="shared" si="14"/>
        <v>11150</v>
      </c>
      <c r="D34" s="35">
        <f t="shared" si="14"/>
        <v>12380</v>
      </c>
      <c r="E34" s="35">
        <f t="shared" si="14"/>
        <v>13610</v>
      </c>
      <c r="F34" s="35">
        <f t="shared" si="14"/>
        <v>68990</v>
      </c>
      <c r="G34" s="35">
        <f t="shared" si="14"/>
        <v>80060</v>
      </c>
      <c r="H34" s="35">
        <f t="shared" si="14"/>
        <v>92360</v>
      </c>
      <c r="I34" s="56">
        <f t="shared" si="14"/>
        <v>104660</v>
      </c>
    </row>
    <row r="35" spans="2:9" ht="15">
      <c r="B35" s="42"/>
      <c r="C35" s="17"/>
      <c r="D35" s="17"/>
      <c r="E35" s="17"/>
      <c r="F35" s="17"/>
      <c r="G35" s="17"/>
      <c r="H35" s="17"/>
      <c r="I35" s="57"/>
    </row>
    <row r="36" spans="1:9" ht="15">
      <c r="A36" s="9" t="s">
        <v>46</v>
      </c>
      <c r="B36" s="39">
        <v>350000</v>
      </c>
      <c r="C36" s="40">
        <v>350000</v>
      </c>
      <c r="D36" s="40">
        <v>350000</v>
      </c>
      <c r="E36" s="40">
        <v>350000</v>
      </c>
      <c r="F36" s="40">
        <f>350000+550000</f>
        <v>900000</v>
      </c>
      <c r="G36" s="40">
        <f>350000+550000</f>
        <v>900000</v>
      </c>
      <c r="H36" s="40">
        <f>350000+550000+1246000</f>
        <v>2146000</v>
      </c>
      <c r="I36" s="58">
        <f>350000+550000+1246000</f>
        <v>2146000</v>
      </c>
    </row>
    <row r="37" spans="1:9" ht="15">
      <c r="A37" s="9" t="s">
        <v>47</v>
      </c>
      <c r="B37" s="39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58">
        <v>0</v>
      </c>
    </row>
    <row r="38" spans="1:9" ht="15">
      <c r="A38" t="s">
        <v>29</v>
      </c>
      <c r="B38" s="39">
        <f>SUM($B13:D13)</f>
        <v>-29430</v>
      </c>
      <c r="C38" s="40">
        <f>SUM($B13:G13)</f>
        <v>-49050</v>
      </c>
      <c r="D38" s="40">
        <f>SUM($B13:J13)</f>
        <v>-58860</v>
      </c>
      <c r="E38" s="40">
        <f>SUM($B13:M13)</f>
        <v>-58860</v>
      </c>
      <c r="F38" s="40">
        <f>SUM($B13:P13)</f>
        <v>-213363.3333333333</v>
      </c>
      <c r="G38" s="40">
        <f>SUM($B13:S13)</f>
        <v>-352719.99999999994</v>
      </c>
      <c r="H38" s="40">
        <f>SUM($B13:V13)</f>
        <v>-403399.9999999999</v>
      </c>
      <c r="I38" s="58">
        <f>SUM($B13:Y13)</f>
        <v>-355979.9999999998</v>
      </c>
    </row>
    <row r="39" spans="1:9" ht="15">
      <c r="A39" s="1" t="s">
        <v>49</v>
      </c>
      <c r="B39" s="34">
        <f aca="true" t="shared" si="15" ref="B39:I39">SUM(B36:B38)</f>
        <v>320570</v>
      </c>
      <c r="C39" s="35">
        <f t="shared" si="15"/>
        <v>300950</v>
      </c>
      <c r="D39" s="35">
        <f t="shared" si="15"/>
        <v>291140</v>
      </c>
      <c r="E39" s="35">
        <f t="shared" si="15"/>
        <v>291140</v>
      </c>
      <c r="F39" s="35">
        <f t="shared" si="15"/>
        <v>686636.6666666667</v>
      </c>
      <c r="G39" s="35">
        <f t="shared" si="15"/>
        <v>547280</v>
      </c>
      <c r="H39" s="35">
        <f t="shared" si="15"/>
        <v>1742600</v>
      </c>
      <c r="I39" s="56">
        <f t="shared" si="15"/>
        <v>1790020.0000000002</v>
      </c>
    </row>
    <row r="40" spans="2:9" ht="15">
      <c r="B40" s="42"/>
      <c r="C40" s="17"/>
      <c r="D40" s="17"/>
      <c r="E40" s="17"/>
      <c r="F40" s="17"/>
      <c r="G40" s="17"/>
      <c r="H40" s="17"/>
      <c r="I40" s="57"/>
    </row>
    <row r="41" spans="1:9" ht="15">
      <c r="A41" s="1" t="s">
        <v>150</v>
      </c>
      <c r="B41" s="43">
        <f aca="true" t="shared" si="16" ref="B41:I41">+B34+B39</f>
        <v>330490</v>
      </c>
      <c r="C41" s="59">
        <f t="shared" si="16"/>
        <v>312100</v>
      </c>
      <c r="D41" s="59">
        <f t="shared" si="16"/>
        <v>303520</v>
      </c>
      <c r="E41" s="59">
        <f t="shared" si="16"/>
        <v>304750</v>
      </c>
      <c r="F41" s="59">
        <f t="shared" si="16"/>
        <v>755626.6666666667</v>
      </c>
      <c r="G41" s="59">
        <f t="shared" si="16"/>
        <v>627340</v>
      </c>
      <c r="H41" s="59">
        <f t="shared" si="16"/>
        <v>1834960</v>
      </c>
      <c r="I41" s="60">
        <f t="shared" si="16"/>
        <v>1894680.0000000002</v>
      </c>
    </row>
    <row r="43" spans="2:9" ht="13.5">
      <c r="B43" s="52">
        <f>+B27-B41</f>
        <v>0</v>
      </c>
      <c r="C43" s="52">
        <f aca="true" t="shared" si="17" ref="C43:I43">+C27-C41</f>
        <v>0</v>
      </c>
      <c r="D43" s="52">
        <f t="shared" si="17"/>
        <v>0</v>
      </c>
      <c r="E43" s="52">
        <f t="shared" si="17"/>
        <v>0</v>
      </c>
      <c r="F43" s="52">
        <f t="shared" si="17"/>
        <v>0</v>
      </c>
      <c r="G43" s="52">
        <f t="shared" si="17"/>
        <v>0</v>
      </c>
      <c r="H43" s="52">
        <f t="shared" si="17"/>
        <v>0</v>
      </c>
      <c r="I43" s="52">
        <f t="shared" si="17"/>
        <v>0</v>
      </c>
    </row>
    <row r="44" spans="4:9" ht="13.5">
      <c r="D44" s="52"/>
      <c r="E44" s="52"/>
      <c r="F44" s="52"/>
      <c r="G44" s="52"/>
      <c r="H44" s="52"/>
      <c r="I44" s="52"/>
    </row>
  </sheetData>
  <sheetProtection/>
  <printOptions/>
  <pageMargins left="0.25" right="0.25" top="0.25" bottom="0.25" header="0.3" footer="0.3"/>
  <pageSetup fitToWidth="4" fitToHeight="1" horizontalDpi="600" verticalDpi="600" orientation="landscape" scale="95"/>
  <ignoredErrors>
    <ignoredError sqref="N17 P17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44" sqref="A44"/>
    </sheetView>
  </sheetViews>
  <sheetFormatPr defaultColWidth="8.8515625" defaultRowHeight="15"/>
  <cols>
    <col min="1" max="1" width="42.140625" style="0" customWidth="1"/>
    <col min="2" max="8" width="8.8515625" style="0" customWidth="1"/>
    <col min="9" max="17" width="0" style="0" hidden="1" customWidth="1"/>
  </cols>
  <sheetData>
    <row r="2" spans="2:17" ht="13.5">
      <c r="B2" s="8" t="s">
        <v>1</v>
      </c>
      <c r="C2" s="8" t="s">
        <v>2</v>
      </c>
      <c r="D2" s="8" t="s">
        <v>3</v>
      </c>
      <c r="E2" s="8" t="s">
        <v>0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</row>
    <row r="3" spans="1:17" ht="13.5">
      <c r="A3" s="9" t="s">
        <v>30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3.5">
      <c r="A4" s="9" t="s">
        <v>31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3.5">
      <c r="A5" s="9" t="s">
        <v>32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3.5">
      <c r="A6" s="9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3.5">
      <c r="A7" s="3" t="s">
        <v>34</v>
      </c>
      <c r="B7" s="3">
        <f>SUM(B3:B6)</f>
        <v>0</v>
      </c>
      <c r="C7" s="3">
        <f aca="true" t="shared" si="0" ref="C7:Q7">SUM(C3:C6)</f>
        <v>0</v>
      </c>
      <c r="D7" s="3">
        <f t="shared" si="0"/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">
        <f t="shared" si="0"/>
        <v>0</v>
      </c>
    </row>
    <row r="8" spans="1:17" ht="13.5">
      <c r="A8" s="9" t="s">
        <v>35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3.5">
      <c r="A9" s="9" t="s">
        <v>36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3.5">
      <c r="A10" s="3" t="s">
        <v>37</v>
      </c>
      <c r="B10" s="3">
        <f aca="true" t="shared" si="1" ref="B10:Q10">SUM(B8:B9)</f>
        <v>0</v>
      </c>
      <c r="C10" s="3">
        <f t="shared" si="1"/>
        <v>0</v>
      </c>
      <c r="D10" s="3">
        <f t="shared" si="1"/>
        <v>0</v>
      </c>
      <c r="E10" s="3">
        <f t="shared" si="1"/>
        <v>0</v>
      </c>
      <c r="F10" s="3">
        <f t="shared" si="1"/>
        <v>0</v>
      </c>
      <c r="G10" s="3">
        <f t="shared" si="1"/>
        <v>0</v>
      </c>
      <c r="H10" s="3">
        <f t="shared" si="1"/>
        <v>0</v>
      </c>
      <c r="I10" s="3">
        <f t="shared" si="1"/>
        <v>0</v>
      </c>
      <c r="J10" s="3">
        <f t="shared" si="1"/>
        <v>0</v>
      </c>
      <c r="K10" s="3">
        <f t="shared" si="1"/>
        <v>0</v>
      </c>
      <c r="L10" s="3">
        <f t="shared" si="1"/>
        <v>0</v>
      </c>
      <c r="M10" s="3">
        <f t="shared" si="1"/>
        <v>0</v>
      </c>
      <c r="N10" s="3">
        <f t="shared" si="1"/>
        <v>0</v>
      </c>
      <c r="O10" s="3">
        <f t="shared" si="1"/>
        <v>0</v>
      </c>
      <c r="P10" s="3">
        <f t="shared" si="1"/>
        <v>0</v>
      </c>
      <c r="Q10" s="3">
        <f t="shared" si="1"/>
        <v>0</v>
      </c>
    </row>
    <row r="11" spans="1:17" ht="13.5">
      <c r="A11" s="7" t="s">
        <v>38</v>
      </c>
      <c r="B11" s="7">
        <f aca="true" t="shared" si="2" ref="B11:Q11">B10+B7</f>
        <v>0</v>
      </c>
      <c r="C11" s="7">
        <f t="shared" si="2"/>
        <v>0</v>
      </c>
      <c r="D11" s="7">
        <f t="shared" si="2"/>
        <v>0</v>
      </c>
      <c r="E11" s="7">
        <f t="shared" si="2"/>
        <v>0</v>
      </c>
      <c r="F11" s="7">
        <f t="shared" si="2"/>
        <v>0</v>
      </c>
      <c r="G11" s="7">
        <f t="shared" si="2"/>
        <v>0</v>
      </c>
      <c r="H11" s="7">
        <f t="shared" si="2"/>
        <v>0</v>
      </c>
      <c r="I11" s="7">
        <f t="shared" si="2"/>
        <v>0</v>
      </c>
      <c r="J11" s="7">
        <f t="shared" si="2"/>
        <v>0</v>
      </c>
      <c r="K11" s="7">
        <f t="shared" si="2"/>
        <v>0</v>
      </c>
      <c r="L11" s="7">
        <f t="shared" si="2"/>
        <v>0</v>
      </c>
      <c r="M11" s="7">
        <f t="shared" si="2"/>
        <v>0</v>
      </c>
      <c r="N11" s="7">
        <f t="shared" si="2"/>
        <v>0</v>
      </c>
      <c r="O11" s="7">
        <f t="shared" si="2"/>
        <v>0</v>
      </c>
      <c r="P11" s="7">
        <f t="shared" si="2"/>
        <v>0</v>
      </c>
      <c r="Q11" s="7">
        <f t="shared" si="2"/>
        <v>0</v>
      </c>
    </row>
    <row r="12" spans="1:17" ht="13.5">
      <c r="A12" s="9" t="s">
        <v>39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3.5">
      <c r="A13" s="9" t="s">
        <v>40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3.5">
      <c r="A14" s="9" t="s">
        <v>41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3.5">
      <c r="A15" s="3" t="s">
        <v>42</v>
      </c>
      <c r="B15" s="3">
        <f aca="true" t="shared" si="3" ref="B15:Q15">SUM(B12:B14)</f>
        <v>0</v>
      </c>
      <c r="C15" s="3">
        <f t="shared" si="3"/>
        <v>0</v>
      </c>
      <c r="D15" s="3">
        <f t="shared" si="3"/>
        <v>0</v>
      </c>
      <c r="E15" s="3">
        <f t="shared" si="3"/>
        <v>0</v>
      </c>
      <c r="F15" s="3">
        <f t="shared" si="3"/>
        <v>0</v>
      </c>
      <c r="G15" s="3">
        <f t="shared" si="3"/>
        <v>0</v>
      </c>
      <c r="H15" s="3">
        <f t="shared" si="3"/>
        <v>0</v>
      </c>
      <c r="I15" s="3">
        <f t="shared" si="3"/>
        <v>0</v>
      </c>
      <c r="J15" s="3">
        <f t="shared" si="3"/>
        <v>0</v>
      </c>
      <c r="K15" s="3">
        <f t="shared" si="3"/>
        <v>0</v>
      </c>
      <c r="L15" s="3">
        <f t="shared" si="3"/>
        <v>0</v>
      </c>
      <c r="M15" s="3">
        <f t="shared" si="3"/>
        <v>0</v>
      </c>
      <c r="N15" s="3">
        <f t="shared" si="3"/>
        <v>0</v>
      </c>
      <c r="O15" s="3">
        <f t="shared" si="3"/>
        <v>0</v>
      </c>
      <c r="P15" s="3">
        <f t="shared" si="3"/>
        <v>0</v>
      </c>
      <c r="Q15" s="3">
        <f t="shared" si="3"/>
        <v>0</v>
      </c>
    </row>
    <row r="16" spans="1:17" ht="13.5">
      <c r="A16" s="9" t="s">
        <v>76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3.5">
      <c r="A17" s="9" t="s">
        <v>74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2" customFormat="1" ht="13.5">
      <c r="A18" s="10" t="s">
        <v>77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s="2" customFormat="1" ht="13.5">
      <c r="A19" s="10" t="s">
        <v>44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s="2" customFormat="1" ht="13.5">
      <c r="A20" s="3" t="s">
        <v>45</v>
      </c>
      <c r="B20" s="3">
        <f aca="true" t="shared" si="4" ref="B20:Q20">SUM(B16:B19)</f>
        <v>0</v>
      </c>
      <c r="C20" s="3">
        <f t="shared" si="4"/>
        <v>0</v>
      </c>
      <c r="D20" s="3">
        <f t="shared" si="4"/>
        <v>0</v>
      </c>
      <c r="E20" s="3">
        <f t="shared" si="4"/>
        <v>0</v>
      </c>
      <c r="F20" s="3">
        <f t="shared" si="4"/>
        <v>0</v>
      </c>
      <c r="G20" s="3">
        <f t="shared" si="4"/>
        <v>0</v>
      </c>
      <c r="H20" s="3">
        <f t="shared" si="4"/>
        <v>0</v>
      </c>
      <c r="I20" s="3">
        <f t="shared" si="4"/>
        <v>0</v>
      </c>
      <c r="J20" s="3">
        <f t="shared" si="4"/>
        <v>0</v>
      </c>
      <c r="K20" s="3">
        <f t="shared" si="4"/>
        <v>0</v>
      </c>
      <c r="L20" s="3">
        <f t="shared" si="4"/>
        <v>0</v>
      </c>
      <c r="M20" s="3">
        <f t="shared" si="4"/>
        <v>0</v>
      </c>
      <c r="N20" s="3">
        <f t="shared" si="4"/>
        <v>0</v>
      </c>
      <c r="O20" s="3">
        <f t="shared" si="4"/>
        <v>0</v>
      </c>
      <c r="P20" s="3">
        <f t="shared" si="4"/>
        <v>0</v>
      </c>
      <c r="Q20" s="3">
        <f t="shared" si="4"/>
        <v>0</v>
      </c>
    </row>
    <row r="21" spans="1:17" ht="13.5">
      <c r="A21" s="7" t="s">
        <v>43</v>
      </c>
      <c r="B21" s="7">
        <f aca="true" t="shared" si="5" ref="B21:Q21">B20+B15</f>
        <v>0</v>
      </c>
      <c r="C21" s="7">
        <f t="shared" si="5"/>
        <v>0</v>
      </c>
      <c r="D21" s="7">
        <f t="shared" si="5"/>
        <v>0</v>
      </c>
      <c r="E21" s="7">
        <f t="shared" si="5"/>
        <v>0</v>
      </c>
      <c r="F21" s="7">
        <f t="shared" si="5"/>
        <v>0</v>
      </c>
      <c r="G21" s="7">
        <f t="shared" si="5"/>
        <v>0</v>
      </c>
      <c r="H21" s="7">
        <f t="shared" si="5"/>
        <v>0</v>
      </c>
      <c r="I21" s="7">
        <f t="shared" si="5"/>
        <v>0</v>
      </c>
      <c r="J21" s="7">
        <f t="shared" si="5"/>
        <v>0</v>
      </c>
      <c r="K21" s="7">
        <f t="shared" si="5"/>
        <v>0</v>
      </c>
      <c r="L21" s="7">
        <f t="shared" si="5"/>
        <v>0</v>
      </c>
      <c r="M21" s="7">
        <f t="shared" si="5"/>
        <v>0</v>
      </c>
      <c r="N21" s="7">
        <f t="shared" si="5"/>
        <v>0</v>
      </c>
      <c r="O21" s="7">
        <f t="shared" si="5"/>
        <v>0</v>
      </c>
      <c r="P21" s="7">
        <f t="shared" si="5"/>
        <v>0</v>
      </c>
      <c r="Q21" s="7">
        <f t="shared" si="5"/>
        <v>0</v>
      </c>
    </row>
    <row r="22" spans="1:17" ht="13.5">
      <c r="A22" s="10" t="s">
        <v>46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3.5">
      <c r="A23" s="10" t="s">
        <v>47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3.5">
      <c r="A24" s="10" t="s">
        <v>75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3.5">
      <c r="A25" s="10" t="s">
        <v>48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3.5">
      <c r="A26" s="10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3.5">
      <c r="A27" s="3" t="s">
        <v>49</v>
      </c>
      <c r="B27" s="3">
        <f>SUM(B22:B26)</f>
        <v>0</v>
      </c>
      <c r="C27" s="3">
        <f aca="true" t="shared" si="6" ref="C27:Q27">SUM(C22:C26)</f>
        <v>0</v>
      </c>
      <c r="D27" s="3">
        <f t="shared" si="6"/>
        <v>0</v>
      </c>
      <c r="E27" s="3">
        <f t="shared" si="6"/>
        <v>0</v>
      </c>
      <c r="F27" s="3">
        <f t="shared" si="6"/>
        <v>0</v>
      </c>
      <c r="G27" s="3">
        <f t="shared" si="6"/>
        <v>0</v>
      </c>
      <c r="H27" s="3">
        <f t="shared" si="6"/>
        <v>0</v>
      </c>
      <c r="I27" s="3">
        <f t="shared" si="6"/>
        <v>0</v>
      </c>
      <c r="J27" s="3">
        <f t="shared" si="6"/>
        <v>0</v>
      </c>
      <c r="K27" s="3">
        <f t="shared" si="6"/>
        <v>0</v>
      </c>
      <c r="L27" s="3">
        <f t="shared" si="6"/>
        <v>0</v>
      </c>
      <c r="M27" s="3">
        <f t="shared" si="6"/>
        <v>0</v>
      </c>
      <c r="N27" s="3">
        <f t="shared" si="6"/>
        <v>0</v>
      </c>
      <c r="O27" s="3">
        <f t="shared" si="6"/>
        <v>0</v>
      </c>
      <c r="P27" s="3">
        <f t="shared" si="6"/>
        <v>0</v>
      </c>
      <c r="Q27" s="3">
        <f t="shared" si="6"/>
        <v>0</v>
      </c>
    </row>
    <row r="28" spans="1:17" s="1" customFormat="1" ht="13.5">
      <c r="A28" s="7" t="s">
        <v>73</v>
      </c>
      <c r="B28" s="7">
        <f>B27+B21</f>
        <v>0</v>
      </c>
      <c r="C28" s="7">
        <f aca="true" t="shared" si="7" ref="C28:Q28">C27+C21</f>
        <v>0</v>
      </c>
      <c r="D28" s="7">
        <f t="shared" si="7"/>
        <v>0</v>
      </c>
      <c r="E28" s="7">
        <f t="shared" si="7"/>
        <v>0</v>
      </c>
      <c r="F28" s="7">
        <f t="shared" si="7"/>
        <v>0</v>
      </c>
      <c r="G28" s="7">
        <f t="shared" si="7"/>
        <v>0</v>
      </c>
      <c r="H28" s="7">
        <f t="shared" si="7"/>
        <v>0</v>
      </c>
      <c r="I28" s="7">
        <f t="shared" si="7"/>
        <v>0</v>
      </c>
      <c r="J28" s="7">
        <f t="shared" si="7"/>
        <v>0</v>
      </c>
      <c r="K28" s="7">
        <f t="shared" si="7"/>
        <v>0</v>
      </c>
      <c r="L28" s="7">
        <f t="shared" si="7"/>
        <v>0</v>
      </c>
      <c r="M28" s="7">
        <f t="shared" si="7"/>
        <v>0</v>
      </c>
      <c r="N28" s="7">
        <f t="shared" si="7"/>
        <v>0</v>
      </c>
      <c r="O28" s="7">
        <f t="shared" si="7"/>
        <v>0</v>
      </c>
      <c r="P28" s="7">
        <f t="shared" si="7"/>
        <v>0</v>
      </c>
      <c r="Q28" s="7">
        <f t="shared" si="7"/>
        <v>0</v>
      </c>
    </row>
  </sheetData>
  <sheetProtection/>
  <printOptions/>
  <pageMargins left="0.75" right="0.75" top="1" bottom="1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5"/>
  <sheetViews>
    <sheetView workbookViewId="0" topLeftCell="A1">
      <selection activeCell="A44" sqref="A44"/>
    </sheetView>
  </sheetViews>
  <sheetFormatPr defaultColWidth="8.8515625" defaultRowHeight="15"/>
  <cols>
    <col min="1" max="1" width="8.8515625" style="0" customWidth="1"/>
    <col min="2" max="2" width="26.140625" style="0" customWidth="1"/>
  </cols>
  <sheetData>
    <row r="2" spans="2:18" ht="13.5">
      <c r="B2" s="9"/>
      <c r="C2" s="8" t="s">
        <v>1</v>
      </c>
      <c r="D2" s="8" t="s">
        <v>2</v>
      </c>
      <c r="E2" s="8" t="s">
        <v>3</v>
      </c>
      <c r="F2" s="8" t="s">
        <v>0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  <c r="P2" s="8" t="s">
        <v>13</v>
      </c>
      <c r="Q2" s="8" t="s">
        <v>14</v>
      </c>
      <c r="R2" s="8" t="s">
        <v>15</v>
      </c>
    </row>
    <row r="3" spans="2:18" ht="13.5">
      <c r="B3" s="9" t="s">
        <v>50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8" ht="13.5">
      <c r="B4" s="9" t="s">
        <v>51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2:18" ht="13.5">
      <c r="B5" s="3" t="s">
        <v>52</v>
      </c>
      <c r="C5" s="3">
        <f>SUM(C3:C4)</f>
        <v>0</v>
      </c>
      <c r="D5" s="3">
        <f aca="true" t="shared" si="0" ref="D5:R5">SUM(D3:D4)</f>
        <v>0</v>
      </c>
      <c r="E5" s="3">
        <f t="shared" si="0"/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 t="shared" si="0"/>
        <v>0</v>
      </c>
      <c r="P5" s="3">
        <f t="shared" si="0"/>
        <v>0</v>
      </c>
      <c r="Q5" s="3">
        <f t="shared" si="0"/>
        <v>0</v>
      </c>
      <c r="R5" s="3">
        <f t="shared" si="0"/>
        <v>0</v>
      </c>
    </row>
  </sheetData>
  <sheetProtection/>
  <printOptions/>
  <pageMargins left="0.75" right="0.75" top="1" bottom="1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workbookViewId="0" topLeftCell="A1">
      <selection activeCell="A44" sqref="A44"/>
    </sheetView>
  </sheetViews>
  <sheetFormatPr defaultColWidth="8.8515625" defaultRowHeight="15" outlineLevelRow="1"/>
  <cols>
    <col min="1" max="1" width="21.140625" style="0" customWidth="1"/>
  </cols>
  <sheetData>
    <row r="2" spans="2:17" ht="13.5">
      <c r="B2" s="8" t="s">
        <v>1</v>
      </c>
      <c r="C2" s="8" t="s">
        <v>2</v>
      </c>
      <c r="D2" s="8" t="s">
        <v>3</v>
      </c>
      <c r="E2" s="8" t="s">
        <v>0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</row>
    <row r="3" spans="1:17" s="2" customFormat="1" ht="13.5">
      <c r="A3" s="11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3.5">
      <c r="A4" s="11" t="s">
        <v>54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3.5">
      <c r="A5" s="11" t="s">
        <v>55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3.5">
      <c r="A6" s="11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3.5" hidden="1" outlineLevel="1">
      <c r="A7" s="2" t="s">
        <v>57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3.5" hidden="1" outlineLevel="1">
      <c r="A8" s="2" t="s">
        <v>58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3.5" hidden="1" outlineLevel="1">
      <c r="A9" s="2" t="s">
        <v>59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3.5" hidden="1" outlineLevel="1">
      <c r="A10" s="2" t="s">
        <v>60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3.5" hidden="1" outlineLevel="1">
      <c r="A11" s="2" t="s">
        <v>61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3.5" hidden="1" outlineLevel="1">
      <c r="A12" s="2" t="s">
        <v>62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2:17" ht="13.5" collapsed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3.5">
      <c r="A14" s="11" t="s">
        <v>63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3.5">
      <c r="A15" s="11" t="s">
        <v>64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3.5">
      <c r="A16" s="11" t="s">
        <v>65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3.5">
      <c r="A17" s="11" t="s">
        <v>66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3.5" hidden="1" outlineLevel="1">
      <c r="A18" s="2" t="s">
        <v>67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3.5" hidden="1" outlineLevel="1">
      <c r="A19" s="2" t="s">
        <v>68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3.5" hidden="1" outlineLevel="1">
      <c r="A20" s="2" t="s">
        <v>69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3.5" hidden="1" outlineLevel="1">
      <c r="A21" s="2" t="s">
        <v>70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3.5" hidden="1" outlineLevel="1">
      <c r="A22" s="2" t="s">
        <v>72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3.5" hidden="1" outlineLevel="1">
      <c r="A23" s="2" t="s">
        <v>71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3.5" collapsed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2:17" ht="13.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3.5">
      <c r="A26" s="11" t="s">
        <v>16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3.5">
      <c r="A27" s="11" t="s">
        <v>17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3.5">
      <c r="A28" s="11" t="s">
        <v>18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3.5">
      <c r="A29" s="11" t="s">
        <v>19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3.5" outlineLevel="1">
      <c r="A30" s="11" t="s">
        <v>20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3.5" outlineLevel="1">
      <c r="A31" s="11" t="s">
        <v>21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3.5" outlineLevel="1">
      <c r="A32" s="11" t="s">
        <v>22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13.5" outlineLevel="1">
      <c r="A33" s="11" t="s">
        <v>23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13.5" outlineLevel="1">
      <c r="A34" s="11" t="s">
        <v>24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13.5" outlineLevel="1">
      <c r="A35" s="11" t="s">
        <v>25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</sheetData>
  <sheetProtection/>
  <printOptions/>
  <pageMargins left="0.75" right="0.75" top="1" bottom="1" header="0.3" footer="0.3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17"/>
  <sheetViews>
    <sheetView workbookViewId="0" topLeftCell="A1">
      <selection activeCell="A44" sqref="A44"/>
    </sheetView>
  </sheetViews>
  <sheetFormatPr defaultColWidth="8.8515625" defaultRowHeight="15" outlineLevelRow="1"/>
  <cols>
    <col min="1" max="1" width="49.7109375" style="0" customWidth="1"/>
    <col min="2" max="2" width="9.140625" style="0" bestFit="1" customWidth="1"/>
  </cols>
  <sheetData>
    <row r="1" ht="15" thickBot="1"/>
    <row r="2" spans="1:256" s="4" customFormat="1" ht="13.5">
      <c r="A2" s="12" t="s">
        <v>78</v>
      </c>
      <c r="B2" s="13">
        <v>2015</v>
      </c>
      <c r="C2" s="13">
        <v>2016</v>
      </c>
      <c r="D2" s="13">
        <v>2017</v>
      </c>
      <c r="E2" s="13">
        <v>2018</v>
      </c>
      <c r="F2" s="13">
        <v>2019</v>
      </c>
      <c r="G2" s="14">
        <v>2020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7" ht="13.5">
      <c r="A3" s="22" t="s">
        <v>79</v>
      </c>
      <c r="B3" s="23"/>
      <c r="C3" s="23"/>
      <c r="D3" s="23"/>
      <c r="E3" s="23"/>
      <c r="F3" s="23"/>
      <c r="G3" s="24"/>
    </row>
    <row r="4" spans="1:7" ht="13.5">
      <c r="A4" s="22" t="s">
        <v>80</v>
      </c>
      <c r="B4" s="23"/>
      <c r="C4" s="23"/>
      <c r="D4" s="23"/>
      <c r="E4" s="23"/>
      <c r="F4" s="23"/>
      <c r="G4" s="24"/>
    </row>
    <row r="5" spans="1:7" ht="13.5">
      <c r="A5" s="22" t="s">
        <v>81</v>
      </c>
      <c r="B5" s="23"/>
      <c r="C5" s="23"/>
      <c r="D5" s="23"/>
      <c r="E5" s="23"/>
      <c r="F5" s="23"/>
      <c r="G5" s="24"/>
    </row>
    <row r="6" spans="1:7" ht="13.5">
      <c r="A6" s="22" t="s">
        <v>82</v>
      </c>
      <c r="B6" s="23"/>
      <c r="C6" s="23"/>
      <c r="D6" s="23"/>
      <c r="E6" s="23"/>
      <c r="F6" s="23"/>
      <c r="G6" s="24"/>
    </row>
    <row r="7" spans="1:7" ht="13.5" outlineLevel="1">
      <c r="A7" s="16" t="s">
        <v>83</v>
      </c>
      <c r="B7" s="17"/>
      <c r="C7" s="17"/>
      <c r="D7" s="17"/>
      <c r="E7" s="17"/>
      <c r="F7" s="17"/>
      <c r="G7" s="18"/>
    </row>
    <row r="8" spans="1:7" ht="13.5" outlineLevel="1">
      <c r="A8" s="16" t="s">
        <v>84</v>
      </c>
      <c r="B8" s="17"/>
      <c r="C8" s="17"/>
      <c r="D8" s="17"/>
      <c r="E8" s="17"/>
      <c r="F8" s="17"/>
      <c r="G8" s="18"/>
    </row>
    <row r="9" spans="1:7" ht="13.5" outlineLevel="1">
      <c r="A9" s="16" t="s">
        <v>85</v>
      </c>
      <c r="B9" s="17"/>
      <c r="C9" s="17"/>
      <c r="D9" s="17"/>
      <c r="E9" s="17"/>
      <c r="F9" s="17"/>
      <c r="G9" s="18"/>
    </row>
    <row r="10" spans="1:7" ht="13.5" outlineLevel="1">
      <c r="A10" s="16" t="s">
        <v>86</v>
      </c>
      <c r="B10" s="17"/>
      <c r="C10" s="17"/>
      <c r="D10" s="17"/>
      <c r="E10" s="17"/>
      <c r="F10" s="17"/>
      <c r="G10" s="18"/>
    </row>
    <row r="11" spans="1:7" ht="13.5" outlineLevel="1">
      <c r="A11" s="16" t="s">
        <v>87</v>
      </c>
      <c r="B11" s="17"/>
      <c r="C11" s="17"/>
      <c r="D11" s="17"/>
      <c r="E11" s="17"/>
      <c r="F11" s="17"/>
      <c r="G11" s="18"/>
    </row>
    <row r="12" spans="1:7" ht="15" outlineLevel="1" thickBot="1">
      <c r="A12" s="19" t="s">
        <v>88</v>
      </c>
      <c r="B12" s="20"/>
      <c r="C12" s="20"/>
      <c r="D12" s="20"/>
      <c r="E12" s="20"/>
      <c r="F12" s="20"/>
      <c r="G12" s="21"/>
    </row>
    <row r="13" ht="13.5">
      <c r="A13" s="2"/>
    </row>
    <row r="14" ht="15" thickBot="1"/>
    <row r="15" spans="1:7" s="1" customFormat="1" ht="13.5">
      <c r="A15" s="12" t="s">
        <v>89</v>
      </c>
      <c r="B15" s="13">
        <v>2015</v>
      </c>
      <c r="C15" s="13">
        <v>2016</v>
      </c>
      <c r="D15" s="13">
        <v>2017</v>
      </c>
      <c r="E15" s="13">
        <v>2018</v>
      </c>
      <c r="F15" s="13">
        <v>2019</v>
      </c>
      <c r="G15" s="14">
        <v>2020</v>
      </c>
    </row>
    <row r="16" spans="1:7" ht="13.5">
      <c r="A16" s="27" t="s">
        <v>90</v>
      </c>
      <c r="B16" s="23"/>
      <c r="C16" s="23"/>
      <c r="D16" s="23"/>
      <c r="E16" s="23"/>
      <c r="F16" s="23"/>
      <c r="G16" s="24"/>
    </row>
    <row r="17" spans="1:7" ht="15" thickBot="1">
      <c r="A17" s="28" t="s">
        <v>91</v>
      </c>
      <c r="B17" s="25"/>
      <c r="C17" s="25"/>
      <c r="D17" s="25"/>
      <c r="E17" s="25"/>
      <c r="F17" s="25"/>
      <c r="G17" s="26"/>
    </row>
  </sheetData>
  <sheetProtection/>
  <printOptions/>
  <pageMargins left="0.75" right="0.75" top="1" bottom="1" header="0.3" footer="0.3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C30"/>
  <sheetViews>
    <sheetView workbookViewId="0" topLeftCell="A1">
      <selection activeCell="G21" sqref="G21"/>
    </sheetView>
  </sheetViews>
  <sheetFormatPr defaultColWidth="8.8515625" defaultRowHeight="15"/>
  <cols>
    <col min="1" max="1" width="8.8515625" style="0" customWidth="1"/>
    <col min="2" max="2" width="33.140625" style="0" bestFit="1" customWidth="1"/>
    <col min="3" max="3" width="9.7109375" style="0" bestFit="1" customWidth="1"/>
  </cols>
  <sheetData>
    <row r="1" spans="2:3" ht="15">
      <c r="B1" t="s">
        <v>127</v>
      </c>
      <c r="C1" s="66">
        <v>150</v>
      </c>
    </row>
    <row r="4" spans="4:28" ht="15">
      <c r="D4" s="65" t="s">
        <v>100</v>
      </c>
      <c r="E4" s="65" t="s">
        <v>101</v>
      </c>
      <c r="F4" s="65" t="s">
        <v>102</v>
      </c>
      <c r="G4" s="65" t="s">
        <v>103</v>
      </c>
      <c r="H4" s="65" t="s">
        <v>104</v>
      </c>
      <c r="I4" s="65" t="s">
        <v>105</v>
      </c>
      <c r="J4" s="65" t="s">
        <v>106</v>
      </c>
      <c r="K4" s="65" t="s">
        <v>107</v>
      </c>
      <c r="L4" s="65" t="s">
        <v>108</v>
      </c>
      <c r="M4" s="65" t="s">
        <v>109</v>
      </c>
      <c r="N4" s="65" t="s">
        <v>110</v>
      </c>
      <c r="O4" s="65" t="s">
        <v>111</v>
      </c>
      <c r="P4" s="65" t="s">
        <v>112</v>
      </c>
      <c r="Q4" s="65" t="s">
        <v>113</v>
      </c>
      <c r="R4" s="65" t="s">
        <v>114</v>
      </c>
      <c r="S4" s="65" t="s">
        <v>115</v>
      </c>
      <c r="T4" s="65" t="s">
        <v>116</v>
      </c>
      <c r="U4" s="65" t="s">
        <v>117</v>
      </c>
      <c r="V4" s="65" t="s">
        <v>118</v>
      </c>
      <c r="W4" s="65" t="s">
        <v>119</v>
      </c>
      <c r="X4" s="65" t="s">
        <v>120</v>
      </c>
      <c r="Y4" s="65" t="s">
        <v>121</v>
      </c>
      <c r="Z4" s="65" t="s">
        <v>122</v>
      </c>
      <c r="AA4" s="65" t="s">
        <v>123</v>
      </c>
      <c r="AB4" s="65" t="s">
        <v>124</v>
      </c>
    </row>
    <row r="6" spans="3:29" ht="15">
      <c r="C6" t="s">
        <v>125</v>
      </c>
      <c r="D6" s="68">
        <v>100</v>
      </c>
      <c r="E6" s="68">
        <f>+D6+10</f>
        <v>110</v>
      </c>
      <c r="F6" s="68">
        <f aca="true" t="shared" si="0" ref="F6:O6">+E6+10</f>
        <v>120</v>
      </c>
      <c r="G6" s="68">
        <f t="shared" si="0"/>
        <v>130</v>
      </c>
      <c r="H6" s="68">
        <f t="shared" si="0"/>
        <v>140</v>
      </c>
      <c r="I6" s="68">
        <f t="shared" si="0"/>
        <v>150</v>
      </c>
      <c r="J6" s="68">
        <f t="shared" si="0"/>
        <v>160</v>
      </c>
      <c r="K6" s="68">
        <f t="shared" si="0"/>
        <v>170</v>
      </c>
      <c r="L6" s="68">
        <f t="shared" si="0"/>
        <v>180</v>
      </c>
      <c r="M6" s="68">
        <f t="shared" si="0"/>
        <v>190</v>
      </c>
      <c r="N6" s="68">
        <f t="shared" si="0"/>
        <v>200</v>
      </c>
      <c r="O6" s="68">
        <f t="shared" si="0"/>
        <v>210</v>
      </c>
      <c r="P6" s="68">
        <f>+O6+50</f>
        <v>260</v>
      </c>
      <c r="Q6" s="68">
        <f>+P6+60</f>
        <v>320</v>
      </c>
      <c r="R6" s="68">
        <f>+Q6+70</f>
        <v>390</v>
      </c>
      <c r="S6" s="68">
        <f>+R6+80</f>
        <v>470</v>
      </c>
      <c r="T6" s="68">
        <f>+S6+90</f>
        <v>560</v>
      </c>
      <c r="U6" s="68">
        <f>+T6+100</f>
        <v>660</v>
      </c>
      <c r="V6" s="68">
        <f aca="true" t="shared" si="1" ref="V6:AB6">+U6+100</f>
        <v>760</v>
      </c>
      <c r="W6" s="68">
        <f t="shared" si="1"/>
        <v>860</v>
      </c>
      <c r="X6" s="68">
        <f t="shared" si="1"/>
        <v>960</v>
      </c>
      <c r="Y6" s="68">
        <f t="shared" si="1"/>
        <v>1060</v>
      </c>
      <c r="Z6" s="68">
        <f t="shared" si="1"/>
        <v>1160</v>
      </c>
      <c r="AA6" s="68">
        <f t="shared" si="1"/>
        <v>1260</v>
      </c>
      <c r="AB6" s="68">
        <f t="shared" si="1"/>
        <v>1360</v>
      </c>
      <c r="AC6" s="68">
        <f>SUM(D6:AB6)</f>
        <v>11940</v>
      </c>
    </row>
    <row r="7" spans="3:28" ht="15">
      <c r="C7" t="s">
        <v>126</v>
      </c>
      <c r="D7" s="67">
        <f>$C1</f>
        <v>150</v>
      </c>
      <c r="E7" s="67">
        <f aca="true" t="shared" si="2" ref="E7:AA7">$C1</f>
        <v>150</v>
      </c>
      <c r="F7" s="67">
        <f t="shared" si="2"/>
        <v>150</v>
      </c>
      <c r="G7" s="67">
        <f t="shared" si="2"/>
        <v>150</v>
      </c>
      <c r="H7" s="67">
        <f t="shared" si="2"/>
        <v>150</v>
      </c>
      <c r="I7" s="67">
        <f t="shared" si="2"/>
        <v>150</v>
      </c>
      <c r="J7" s="67">
        <f t="shared" si="2"/>
        <v>150</v>
      </c>
      <c r="K7" s="67">
        <f t="shared" si="2"/>
        <v>150</v>
      </c>
      <c r="L7" s="67">
        <f t="shared" si="2"/>
        <v>150</v>
      </c>
      <c r="M7" s="67">
        <f t="shared" si="2"/>
        <v>150</v>
      </c>
      <c r="N7" s="67">
        <f t="shared" si="2"/>
        <v>150</v>
      </c>
      <c r="O7" s="67">
        <f t="shared" si="2"/>
        <v>150</v>
      </c>
      <c r="P7" s="67">
        <f t="shared" si="2"/>
        <v>150</v>
      </c>
      <c r="Q7" s="67">
        <f t="shared" si="2"/>
        <v>150</v>
      </c>
      <c r="R7" s="67">
        <f t="shared" si="2"/>
        <v>150</v>
      </c>
      <c r="S7" s="67">
        <f t="shared" si="2"/>
        <v>150</v>
      </c>
      <c r="T7" s="67">
        <f t="shared" si="2"/>
        <v>150</v>
      </c>
      <c r="U7" s="67">
        <f t="shared" si="2"/>
        <v>150</v>
      </c>
      <c r="V7" s="67">
        <f t="shared" si="2"/>
        <v>150</v>
      </c>
      <c r="W7" s="67">
        <f t="shared" si="2"/>
        <v>150</v>
      </c>
      <c r="X7" s="67">
        <f t="shared" si="2"/>
        <v>150</v>
      </c>
      <c r="Y7" s="67">
        <f t="shared" si="2"/>
        <v>150</v>
      </c>
      <c r="Z7" s="67">
        <f t="shared" si="2"/>
        <v>150</v>
      </c>
      <c r="AA7" s="67">
        <f t="shared" si="2"/>
        <v>150</v>
      </c>
      <c r="AB7" s="67">
        <f>$C1</f>
        <v>150</v>
      </c>
    </row>
    <row r="8" spans="3:28" ht="15">
      <c r="C8" t="s">
        <v>128</v>
      </c>
      <c r="D8" s="68">
        <f>+D7*D6</f>
        <v>15000</v>
      </c>
      <c r="E8" s="68">
        <f aca="true" t="shared" si="3" ref="E8:AB8">+E7*E6</f>
        <v>16500</v>
      </c>
      <c r="F8" s="68">
        <f t="shared" si="3"/>
        <v>18000</v>
      </c>
      <c r="G8" s="68">
        <f t="shared" si="3"/>
        <v>19500</v>
      </c>
      <c r="H8" s="68">
        <f t="shared" si="3"/>
        <v>21000</v>
      </c>
      <c r="I8" s="68">
        <f t="shared" si="3"/>
        <v>22500</v>
      </c>
      <c r="J8" s="68">
        <f t="shared" si="3"/>
        <v>24000</v>
      </c>
      <c r="K8" s="68">
        <f t="shared" si="3"/>
        <v>25500</v>
      </c>
      <c r="L8" s="68">
        <f t="shared" si="3"/>
        <v>27000</v>
      </c>
      <c r="M8" s="68">
        <f t="shared" si="3"/>
        <v>28500</v>
      </c>
      <c r="N8" s="68">
        <f t="shared" si="3"/>
        <v>30000</v>
      </c>
      <c r="O8" s="68">
        <f t="shared" si="3"/>
        <v>31500</v>
      </c>
      <c r="P8" s="68">
        <f t="shared" si="3"/>
        <v>39000</v>
      </c>
      <c r="Q8" s="68">
        <f t="shared" si="3"/>
        <v>48000</v>
      </c>
      <c r="R8" s="68">
        <f t="shared" si="3"/>
        <v>58500</v>
      </c>
      <c r="S8" s="68">
        <f t="shared" si="3"/>
        <v>70500</v>
      </c>
      <c r="T8" s="68">
        <f t="shared" si="3"/>
        <v>84000</v>
      </c>
      <c r="U8" s="68">
        <f t="shared" si="3"/>
        <v>99000</v>
      </c>
      <c r="V8" s="68">
        <f t="shared" si="3"/>
        <v>114000</v>
      </c>
      <c r="W8" s="68">
        <f t="shared" si="3"/>
        <v>129000</v>
      </c>
      <c r="X8" s="68">
        <f t="shared" si="3"/>
        <v>144000</v>
      </c>
      <c r="Y8" s="68">
        <f t="shared" si="3"/>
        <v>159000</v>
      </c>
      <c r="Z8" s="68">
        <f t="shared" si="3"/>
        <v>174000</v>
      </c>
      <c r="AA8" s="68">
        <f t="shared" si="3"/>
        <v>189000</v>
      </c>
      <c r="AB8" s="68">
        <f t="shared" si="3"/>
        <v>204000</v>
      </c>
    </row>
    <row r="11" spans="3:28" ht="15">
      <c r="C11" t="s">
        <v>130</v>
      </c>
      <c r="D11" s="68">
        <f>+D6*$C24</f>
        <v>4100</v>
      </c>
      <c r="E11" s="68">
        <f aca="true" t="shared" si="4" ref="E11:AB11">+E6*$C24</f>
        <v>4510</v>
      </c>
      <c r="F11" s="68">
        <f t="shared" si="4"/>
        <v>4920</v>
      </c>
      <c r="G11" s="68">
        <f t="shared" si="4"/>
        <v>5330</v>
      </c>
      <c r="H11" s="68">
        <f t="shared" si="4"/>
        <v>5740</v>
      </c>
      <c r="I11" s="68">
        <f t="shared" si="4"/>
        <v>6150</v>
      </c>
      <c r="J11" s="68">
        <f t="shared" si="4"/>
        <v>6560</v>
      </c>
      <c r="K11" s="68">
        <f t="shared" si="4"/>
        <v>6970</v>
      </c>
      <c r="L11" s="68">
        <f t="shared" si="4"/>
        <v>7380</v>
      </c>
      <c r="M11" s="68">
        <f t="shared" si="4"/>
        <v>7790</v>
      </c>
      <c r="N11" s="68">
        <f t="shared" si="4"/>
        <v>8200</v>
      </c>
      <c r="O11" s="68">
        <f t="shared" si="4"/>
        <v>8610</v>
      </c>
      <c r="P11" s="68">
        <f t="shared" si="4"/>
        <v>10660</v>
      </c>
      <c r="Q11" s="68">
        <f t="shared" si="4"/>
        <v>13120</v>
      </c>
      <c r="R11" s="68">
        <f t="shared" si="4"/>
        <v>15990</v>
      </c>
      <c r="S11" s="68">
        <f t="shared" si="4"/>
        <v>19270</v>
      </c>
      <c r="T11" s="68">
        <f t="shared" si="4"/>
        <v>22960</v>
      </c>
      <c r="U11" s="68">
        <f t="shared" si="4"/>
        <v>27060</v>
      </c>
      <c r="V11" s="68">
        <f t="shared" si="4"/>
        <v>31160</v>
      </c>
      <c r="W11" s="68">
        <f t="shared" si="4"/>
        <v>35260</v>
      </c>
      <c r="X11" s="68">
        <f t="shared" si="4"/>
        <v>39360</v>
      </c>
      <c r="Y11" s="68">
        <f t="shared" si="4"/>
        <v>43460</v>
      </c>
      <c r="Z11" s="68">
        <f t="shared" si="4"/>
        <v>47560</v>
      </c>
      <c r="AA11" s="68">
        <f t="shared" si="4"/>
        <v>51660</v>
      </c>
      <c r="AB11" s="68">
        <f t="shared" si="4"/>
        <v>55760</v>
      </c>
    </row>
    <row r="12" spans="2:3" ht="15">
      <c r="B12" t="s">
        <v>132</v>
      </c>
      <c r="C12" s="66">
        <v>3.5</v>
      </c>
    </row>
    <row r="13" spans="2:3" ht="15">
      <c r="B13" t="s">
        <v>133</v>
      </c>
      <c r="C13" s="66">
        <v>8</v>
      </c>
    </row>
    <row r="14" spans="2:3" ht="15">
      <c r="B14" t="s">
        <v>134</v>
      </c>
      <c r="C14" s="66">
        <v>11.5</v>
      </c>
    </row>
    <row r="15" spans="2:3" ht="13.5">
      <c r="B15" t="s">
        <v>135</v>
      </c>
      <c r="C15" s="66">
        <v>1</v>
      </c>
    </row>
    <row r="16" spans="2:3" ht="13.5">
      <c r="B16" t="s">
        <v>136</v>
      </c>
      <c r="C16" s="66">
        <v>2</v>
      </c>
    </row>
    <row r="17" spans="2:3" ht="13.5">
      <c r="B17" t="s">
        <v>137</v>
      </c>
      <c r="C17" s="66">
        <v>5</v>
      </c>
    </row>
    <row r="18" spans="2:3" ht="13.5">
      <c r="B18" t="s">
        <v>138</v>
      </c>
      <c r="C18" s="66">
        <v>1.5</v>
      </c>
    </row>
    <row r="19" spans="2:3" ht="13.5">
      <c r="B19" t="s">
        <v>139</v>
      </c>
      <c r="C19" s="66">
        <v>0.5</v>
      </c>
    </row>
    <row r="20" spans="2:3" ht="13.5">
      <c r="B20" t="s">
        <v>131</v>
      </c>
      <c r="C20" s="66">
        <v>1.5</v>
      </c>
    </row>
    <row r="21" spans="2:3" ht="13.5">
      <c r="B21" t="s">
        <v>140</v>
      </c>
      <c r="C21" s="66">
        <v>0.5</v>
      </c>
    </row>
    <row r="22" spans="2:3" ht="13.5">
      <c r="B22" t="s">
        <v>141</v>
      </c>
      <c r="C22" s="66">
        <v>5</v>
      </c>
    </row>
    <row r="23" spans="2:3" ht="13.5">
      <c r="B23" t="s">
        <v>142</v>
      </c>
      <c r="C23" s="67">
        <v>1</v>
      </c>
    </row>
    <row r="24" ht="13.5">
      <c r="C24" s="66">
        <f>SUM(C12:C23)</f>
        <v>41</v>
      </c>
    </row>
    <row r="26" ht="13.5">
      <c r="B26" s="70" t="s">
        <v>143</v>
      </c>
    </row>
    <row r="27" spans="2:3" ht="13.5">
      <c r="B27" t="s">
        <v>144</v>
      </c>
      <c r="C27" s="68">
        <v>40000</v>
      </c>
    </row>
    <row r="28" spans="2:3" ht="13.5">
      <c r="B28" t="s">
        <v>145</v>
      </c>
      <c r="C28" s="68">
        <v>60000</v>
      </c>
    </row>
    <row r="29" spans="2:3" ht="13.5">
      <c r="B29" t="s">
        <v>146</v>
      </c>
      <c r="C29" s="69">
        <v>70000</v>
      </c>
    </row>
    <row r="30" ht="13.5">
      <c r="C30" s="68">
        <f>SUM(C27:C29)</f>
        <v>170000</v>
      </c>
    </row>
  </sheetData>
  <sheetProtection/>
  <printOptions/>
  <pageMargins left="0.7" right="0.7" top="0.75" bottom="0.75" header="0.3" footer="0.3"/>
  <pageSetup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Mark Baldino</cp:lastModifiedBy>
  <cp:lastPrinted>2017-06-12T15:03:56Z</cp:lastPrinted>
  <dcterms:created xsi:type="dcterms:W3CDTF">2016-11-03T13:55:30Z</dcterms:created>
  <dcterms:modified xsi:type="dcterms:W3CDTF">2017-06-12T15:04:09Z</dcterms:modified>
  <cp:category/>
  <cp:version/>
  <cp:contentType/>
  <cp:contentStatus/>
</cp:coreProperties>
</file>